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616" windowHeight="12756"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<sst xmlns="http://schemas.openxmlformats.org/spreadsheetml/2006/main" count="3789" uniqueCount="2996">
  <si>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</si>
  <si>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</si>
  <si>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</si>
  <si>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</si>
  <si>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</si>
  <si>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</si>
  <si>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</si>
  <si>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</si>
  <si>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</si>
  <si>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</si>
  <si>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</si>
  <si>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</si>
  <si>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</si>
  <si>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</si>
  <si>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</si>
  <si>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</si>
  <si>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</si>
  <si>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</si>
  <si>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</si>
  <si>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</si>
  <si>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</si>
  <si>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</si>
  <si>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</si>
  <si>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</si>
  <si>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</si>
  <si>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</si>
  <si>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</si>
  <si>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</si>
  <si>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</si>
  <si>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</si>
  <si>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</si>
  <si>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</si>
  <si>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</si>
  <si>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</si>
  <si>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</si>
  <si>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</si>
  <si>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</si>
  <si>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</si>
  <si>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</si>
  <si>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</si>
  <si>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</si>
  <si>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</si>
  <si>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</si>
  <si>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</si>
  <si>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</si>
  <si>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</si>
  <si>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</si>
  <si>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</si>
  <si>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</si>
  <si>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</si>
  <si>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</si>
  <si>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</si>
  <si>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</si>
  <si>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</si>
  <si>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</si>
  <si>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</si>
  <si>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</si>
  <si>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</si>
  <si>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</si>
  <si>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</si>
  <si>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</si>
  <si>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</si>
  <si>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</si>
  <si>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</si>
  <si>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</si>
  <si>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</si>
  <si>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</si>
  <si>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</si>
  <si>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</si>
  <si>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</si>
  <si>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</si>
  <si>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</si>
  <si>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</si>
  <si>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</si>
  <si>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</si>
  <si>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</si>
  <si>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</si>
  <si>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</si>
  <si>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</si>
  <si>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</si>
  <si>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</si>
  <si>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</si>
  <si>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</si>
  <si>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</si>
  <si>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</si>
  <si>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</si>
  <si>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</si>
  <si>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</si>
  <si>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</si>
  <si>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</si>
  <si>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</si>
  <si>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</si>
  <si>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</si>
  <si>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</si>
  <si>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</si>
  <si>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</si>
  <si>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</si>
  <si>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</si>
  <si>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</si>
  <si>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</si>
  <si>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</si>
  <si>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</si>
  <si>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</si>
  <si>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</si>
  <si>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</si>
  <si>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</si>
  <si>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</si>
  <si>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</si>
  <si>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</si>
  <si>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</si>
  <si>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</si>
  <si>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</si>
  <si>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</si>
  <si>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</si>
  <si>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</si>
  <si>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</si>
  <si>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</si>
  <si>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</si>
  <si>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</si>
  <si>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</si>
  <si>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</si>
  <si>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</si>
  <si>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</si>
  <si>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</si>
  <si>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</si>
  <si>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</si>
  <si>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</si>
  <si>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</si>
  <si>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</si>
  <si>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</si>
  <si>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</si>
  <si>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</si>
  <si>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</si>
  <si>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</si>
  <si>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</si>
  <si>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</si>
  <si>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</si>
  <si>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</si>
  <si>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</si>
  <si>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</si>
  <si>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</si>
  <si>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</si>
  <si>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</si>
  <si>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</si>
  <si>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</si>
  <si>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</si>
  <si>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</si>
  <si>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</si>
  <si>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</si>
  <si>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</si>
  <si>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</si>
  <si>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</si>
  <si>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</si>
  <si>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</si>
  <si>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</si>
  <si>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</si>
  <si>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</si>
  <si>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</si>
  <si>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</si>
  <si>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</si>
  <si>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</si>
  <si>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</si>
  <si>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</si>
  <si>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</si>
  <si>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</si>
  <si>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</si>
  <si>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</si>
  <si>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</si>
  <si>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</si>
  <si>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</si>
  <si>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</si>
  <si>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</si>
  <si>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</si>
  <si>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</si>
  <si>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</si>
  <si>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</si>
  <si>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</si>
  <si>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</si>
  <si>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</si>
  <si>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</si>
  <si>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</si>
  <si>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</si>
  <si>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</si>
  <si>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</si>
  <si>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</si>
  <si>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</si>
  <si>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</si>
  <si>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</si>
  <si>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</si>
  <si>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</si>
  <si>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</si>
  <si>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</si>
  <si>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</si>
  <si>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</si>
  <si>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</si>
  <si>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</si>
  <si>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</si>
  <si>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</si>
  <si>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</si>
  <si>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</si>
  <si>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</si>
  <si>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</si>
  <si>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</si>
  <si>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</si>
  <si>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</si>
  <si>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</si>
  <si>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</si>
  <si>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</si>
  <si>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</si>
  <si>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</si>
  <si>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</si>
  <si>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</si>
  <si>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</si>
  <si>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</si>
  <si>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</si>
  <si>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</si>
  <si>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</si>
  <si>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</si>
  <si>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</si>
  <si>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</si>
  <si>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</si>
  <si>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</si>
  <si>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</si>
  <si>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</si>
  <si>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</si>
  <si>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</si>
  <si>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</si>
  <si>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</si>
  <si>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</si>
  <si>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</si>
  <si>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</si>
  <si>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</si>
  <si>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</si>
  <si>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</si>
  <si>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</si>
  <si>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</si>
  <si>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</si>
  <si>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</si>
  <si>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</si>
  <si>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</si>
  <si>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</si>
  <si>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</si>
  <si>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</si>
  <si>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</si>
  <si>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</si>
  <si>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</si>
  <si>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</si>
  <si>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</si>
  <si>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</si>
  <si>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</si>
  <si>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</si>
  <si>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</si>
  <si>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</si>
  <si>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</si>
  <si>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</si>
  <si>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</si>
  <si>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</si>
  <si>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</si>
  <si>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</si>
  <si>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</si>
  <si>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</si>
  <si>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</si>
  <si>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</si>
  <si>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</si>
  <si>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</si>
  <si>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</si>
  <si>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</si>
  <si>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</si>
  <si>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</si>
  <si>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</si>
  <si>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</si>
  <si>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</si>
  <si>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</si>
  <si>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</si>
  <si>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</si>
  <si>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</si>
  <si>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</si>
  <si>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</si>
  <si>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</si>
  <si>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</si>
  <si>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</si>
  <si>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</si>
  <si>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</si>
  <si>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</si>
  <si>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</si>
  <si>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</si>
  <si>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</si>
  <si>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</si>
  <si>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</si>
  <si>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</si>
  <si>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</si>
  <si>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</si>
  <si>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</si>
  <si>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</si>
  <si>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</si>
  <si>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</si>
  <si>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</si>
  <si>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</si>
  <si>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</si>
  <si>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</si>
  <si>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</si>
  <si>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</si>
  <si>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</si>
  <si>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</si>
  <si>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</si>
  <si>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</si>
  <si>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</si>
  <si>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</si>
  <si>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</si>
  <si>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</si>
  <si>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</si>
  <si>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</si>
  <si>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</si>
  <si>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</si>
  <si>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</si>
  <si>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</si>
  <si>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</si>
  <si>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</si>
  <si>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</si>
  <si>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</si>
  <si>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</si>
  <si>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</si>
  <si>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</si>
  <si>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</si>
  <si>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</si>
  <si>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</si>
  <si>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</si>
  <si>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</si>
  <si>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</si>
  <si>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</si>
  <si>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</si>
  <si>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</si>
  <si>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</si>
  <si>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</si>
  <si>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</si>
  <si>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</si>
  <si>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</si>
  <si>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</si>
  <si>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</si>
  <si>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</si>
  <si>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</si>
  <si>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</si>
  <si>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</si>
  <si>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</si>
  <si>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</si>
  <si>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</si>
  <si>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</si>
  <si>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</si>
  <si>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</si>
  <si>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</si>
  <si>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</si>
  <si>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</si>
  <si>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</si>
  <si>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</si>
  <si>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</si>
  <si>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</si>
  <si>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</si>
  <si>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</si>
  <si>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</si>
  <si>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</si>
  <si>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</si>
  <si>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</si>
  <si>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</si>
  <si>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</si>
  <si>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</si>
  <si>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</si>
  <si>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</si>
  <si>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</si>
  <si>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</si>
  <si>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</si>
  <si>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</si>
  <si>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</si>
  <si>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</si>
  <si>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</si>
  <si>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</si>
  <si>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</si>
  <si>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</si>
  <si>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</si>
  <si>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</si>
  <si>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</si>
  <si>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</si>
  <si>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</si>
  <si>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</si>
  <si>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</si>
  <si>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</si>
  <si>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</si>
  <si>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</si>
  <si>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</si>
  <si>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</si>
  <si>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</si>
  <si>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</si>
  <si>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</si>
  <si>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</si>
  <si>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</si>
  <si>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</si>
  <si>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</si>
  <si>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</si>
  <si>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</si>
  <si>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</si>
  <si>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</si>
  <si>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</si>
  <si>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</si>
  <si>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</si>
  <si>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</si>
  <si>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</si>
  <si>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</si>
  <si>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</si>
  <si>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</si>
  <si>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</si>
  <si>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</si>
  <si>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</si>
  <si>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</si>
  <si>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</si>
  <si>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</si>
  <si>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</si>
  <si>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</si>
  <si>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</si>
  <si>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</si>
  <si>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</si>
  <si>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</si>
  <si>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</si>
  <si>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</si>
  <si>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</si>
  <si>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</si>
  <si>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</si>
  <si>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</si>
  <si>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</si>
  <si>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</si>
  <si>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</si>
  <si>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</si>
  <si>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</si>
  <si>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</si>
  <si>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</si>
  <si>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</si>
  <si>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</si>
  <si>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</si>
  <si>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</si>
  <si>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</si>
  <si>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</si>
  <si>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</si>
  <si>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</si>
  <si>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</si>
  <si>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</si>
  <si>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</si>
  <si>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</si>
  <si>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</si>
  <si>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</si>
  <si>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</si>
  <si>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</si>
  <si>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</si>
  <si>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</si>
  <si>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</si>
  <si>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</si>
  <si>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</si>
  <si>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</si>
  <si>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</si>
  <si>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</si>
  <si>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</si>
  <si>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</si>
  <si>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</si>
  <si>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</si>
  <si>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</si>
  <si>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</si>
  <si>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</si>
  <si>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</si>
  <si>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</si>
  <si>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</si>
  <si>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</si>
  <si>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</si>
  <si>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</si>
  <si>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</si>
  <si>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</si>
  <si>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</si>
  <si>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</si>
  <si>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</si>
  <si>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</si>
  <si>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</si>
  <si>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</si>
  <si>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</si>
  <si>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</si>
  <si>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</si>
  <si>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</si>
  <si>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</si>
  <si>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</si>
  <si>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</si>
  <si>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</si>
  <si>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</si>
  <si>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</si>
  <si>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</si>
  <si>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</si>
  <si>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</si>
  <si>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</si>
  <si>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</si>
  <si>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</si>
  <si>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</si>
  <si>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</si>
  <si>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</si>
  <si>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</si>
  <si>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</si>
  <si>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</si>
  <si>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</si>
  <si>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</si>
  <si>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</si>
  <si>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</si>
  <si>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</si>
  <si>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</si>
  <si>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</si>
  <si>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</si>
  <si>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</si>
  <si>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</si>
  <si>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</si>
  <si>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</si>
  <si>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</si>
  <si>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</si>
  <si>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</si>
  <si>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</si>
  <si>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</si>
  <si>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</si>
  <si>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</si>
  <si>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</si>
  <si>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</si>
  <si>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</si>
  <si>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</si>
  <si>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</si>
  <si>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</si>
  <si>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</si>
  <si>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</si>
  <si>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</si>
  <si>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</si>
  <si>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</si>
  <si>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</si>
  <si>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</si>
  <si>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</si>
  <si>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</si>
  <si>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</si>
  <si>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</si>
  <si>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</si>
  <si>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</si>
  <si>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</si>
  <si>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</si>
  <si>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</si>
  <si>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</si>
  <si>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</si>
  <si>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</si>
  <si>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</si>
  <si>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</si>
  <si>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</si>
  <si>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</si>
  <si>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</si>
  <si>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</si>
  <si>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</si>
  <si>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</si>
  <si>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</si>
  <si>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</si>
  <si>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</si>
  <si>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</si>
  <si>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</si>
  <si>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</si>
  <si>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</si>
  <si>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</si>
  <si>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</si>
  <si>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</si>
  <si>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</si>
  <si>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</si>
  <si>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</si>
  <si>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</si>
  <si>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</si>
  <si>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</si>
  <si>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</si>
  <si>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</si>
  <si>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</si>
  <si>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</si>
  <si>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</si>
  <si>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</si>
  <si>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</si>
  <si>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</si>
  <si>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</si>
  <si>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</si>
  <si>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</si>
  <si>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</si>
  <si>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</si>
  <si>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</si>
  <si>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</si>
  <si>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</si>
  <si>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</si>
  <si>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</si>
  <si>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</si>
  <si>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</si>
  <si>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</si>
  <si>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</si>
  <si>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</si>
  <si>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</si>
  <si>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</si>
  <si>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</si>
  <si>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</si>
  <si>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</si>
  <si>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</si>
  <si>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</si>
  <si>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</si>
  <si>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</si>
  <si>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</si>
  <si>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</si>
  <si>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</si>
  <si>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</si>
  <si>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</si>
  <si>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</si>
  <si>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</si>
  <si>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</si>
  <si>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</si>
  <si>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</si>
  <si>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</si>
  <si>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</si>
  <si>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</si>
  <si>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</si>
  <si>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</si>
  <si>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</si>
  <si>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</si>
  <si>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</si>
  <si>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</si>
  <si>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</si>
  <si>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</si>
  <si>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</si>
  <si>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</si>
  <si>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</si>
  <si>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</si>
  <si>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</si>
  <si>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</si>
  <si>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</si>
  <si>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</si>
  <si>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</si>
  <si>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</si>
  <si>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</si>
  <si>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</si>
  <si>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</si>
  <si>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</si>
  <si>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</si>
  <si>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</si>
  <si>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</si>
  <si>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</si>
  <si>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</si>
  <si>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</si>
  <si>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</si>
  <si>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</si>
  <si>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</si>
  <si>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</si>
  <si>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</si>
  <si>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</si>
  <si>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</si>
  <si>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</si>
  <si>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</si>
  <si>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</si>
  <si>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</si>
  <si>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</si>
  <si>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</si>
  <si>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</si>
  <si>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</si>
  <si>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</si>
  <si>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</si>
  <si>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</si>
  <si>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</si>
  <si>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</si>
  <si>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</si>
  <si>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</si>
  <si>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</si>
  <si>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</si>
  <si>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</si>
  <si>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</si>
  <si>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</si>
  <si>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</si>
  <si>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</si>
  <si>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</si>
  <si>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</si>
  <si>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</si>
  <si>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</si>
  <si>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</si>
  <si>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</si>
  <si>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</si>
  <si>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</si>
  <si>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</si>
  <si>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</si>
  <si>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</si>
  <si>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</si>
  <si>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</si>
  <si>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</si>
  <si>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</si>
  <si>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</si>
  <si>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</si>
  <si>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</si>
  <si>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</si>
  <si>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</si>
  <si>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</si>
  <si>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</si>
  <si>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</si>
  <si>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</si>
  <si>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</si>
  <si>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</si>
  <si>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</si>
  <si>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</si>
  <si>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</si>
  <si>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</si>
  <si>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</si>
  <si>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</si>
  <si>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</si>
  <si>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</si>
  <si>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</si>
  <si>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</si>
  <si>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</si>
  <si>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</si>
  <si>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</si>
  <si>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</si>
  <si>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</si>
  <si>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</si>
  <si>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</si>
  <si>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</si>
  <si>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</si>
  <si>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</si>
  <si>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</si>
  <si>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</si>
  <si>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</si>
  <si>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</si>
  <si>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</si>
  <si>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</si>
  <si>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</si>
  <si>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</si>
  <si>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</si>
  <si>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</si>
  <si>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</si>
  <si>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</si>
  <si>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</si>
  <si>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</si>
  <si>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</si>
  <si>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</si>
  <si>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</si>
  <si>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</si>
  <si>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</si>
  <si>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</si>
  <si>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</si>
  <si>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</si>
  <si>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</si>
  <si>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</si>
  <si>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</si>
  <si>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</si>
  <si>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</si>
  <si>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</si>
  <si>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</si>
  <si>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</si>
  <si>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</si>
  <si>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</si>
  <si>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</si>
  <si>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</si>
  <si>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</si>
  <si>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</si>
  <si>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</si>
  <si>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</si>
  <si>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</si>
  <si>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</si>
  <si>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</si>
  <si>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</si>
  <si>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</si>
  <si>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</si>
  <si>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</si>
  <si>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</si>
  <si>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</si>
  <si>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</si>
  <si>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</si>
  <si>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</si>
  <si>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</si>
  <si>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</si>
  <si>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</si>
  <si>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</si>
  <si>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</si>
  <si>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</si>
  <si>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</si>
  <si>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</si>
  <si>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</si>
  <si>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</si>
  <si>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</si>
  <si>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</si>
  <si>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</si>
  <si>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</si>
  <si>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</si>
  <si>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</si>
  <si>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</si>
  <si>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</si>
  <si>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</si>
  <si>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</si>
  <si>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</si>
  <si>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</si>
  <si>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</si>
  <si>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</si>
  <si>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</si>
  <si>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</si>
  <si>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</si>
  <si>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</si>
  <si>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</si>
  <si>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</si>
  <si>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</si>
  <si>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</si>
  <si>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</si>
  <si>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</si>
  <si>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</si>
  <si>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</si>
  <si>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</si>
  <si>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</si>
  <si>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</si>
  <si>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</si>
  <si>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</si>
  <si>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</si>
  <si>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</si>
  <si>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</si>
  <si>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</si>
  <si>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</si>
  <si>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</si>
  <si>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</si>
  <si>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</si>
  <si>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</si>
  <si>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</si>
  <si>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</si>
  <si>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</si>
  <si>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</si>
  <si>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</si>
  <si>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</si>
  <si>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</si>
  <si>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</si>
  <si>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</si>
  <si>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</si>
  <si>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</si>
  <si>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</si>
  <si>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</si>
  <si>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</si>
  <si>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</si>
  <si>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</si>
  <si>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</si>
  <si>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</si>
  <si>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</si>
  <si>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</si>
  <si>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</si>
  <si>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</si>
  <si>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</si>
  <si>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</si>
  <si>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</si>
  <si>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</si>
  <si>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</si>
  <si>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</si>
  <si>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</si>
  <si>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</si>
  <si>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</si>
  <si>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</si>
  <si>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</si>
  <si>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</si>
  <si>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</si>
  <si>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</si>
  <si>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</si>
  <si>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</si>
  <si>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</si>
  <si>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</si>
  <si>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</si>
  <si>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</si>
  <si>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</si>
  <si>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</si>
  <si>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</si>
  <si>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</si>
  <si>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</si>
  <si>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</si>
  <si>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</si>
  <si>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</si>
  <si>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</si>
  <si>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</si>
  <si>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</si>
  <si>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</si>
  <si>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</si>
  <si>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</si>
  <si>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</si>
  <si>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</si>
  <si>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</si>
  <si>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</si>
  <si>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</si>
  <si>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</si>
  <si>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</si>
  <si>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</si>
  <si>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</si>
  <si>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</si>
  <si>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</si>
  <si>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</si>
  <si>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</si>
  <si>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</si>
  <si>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</si>
  <si>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</si>
  <si>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</si>
  <si>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</si>
  <si>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</si>
  <si>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</si>
  <si>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</si>
  <si>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</si>
  <si>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</si>
  <si>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</si>
  <si>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</si>
  <si>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</si>
  <si>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</si>
  <si>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</si>
  <si>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</si>
  <si>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</si>
  <si>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</si>
  <si>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</si>
  <si>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</si>
  <si>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</si>
  <si>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</si>
  <si>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</si>
  <si>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</si>
  <si>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</si>
  <si>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</si>
  <si>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</si>
  <si>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</si>
  <si>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</si>
  <si>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</si>
  <si>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</si>
  <si>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</si>
  <si>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</si>
  <si>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</si>
  <si>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</si>
  <si>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</si>
  <si>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</si>
  <si>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</si>
  <si>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</si>
  <si>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</si>
  <si>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</si>
  <si>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</si>
  <si>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</si>
  <si>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</si>
  <si>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</si>
  <si>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</si>
  <si>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</si>
  <si>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</si>
  <si>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</si>
  <si>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</si>
  <si>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</si>
  <si>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</si>
  <si>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</si>
  <si>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</si>
  <si>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</si>
  <si>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</si>
  <si>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</si>
  <si>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</si>
  <si>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</si>
  <si>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</si>
  <si>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</si>
  <si>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</si>
  <si>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</si>
  <si>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</si>
  <si>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</si>
  <si>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</si>
  <si>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</si>
  <si>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</si>
  <si>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</si>
  <si>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</si>
  <si>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</si>
  <si>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</si>
  <si>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</si>
  <si>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</si>
  <si>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</si>
  <si>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</si>
  <si>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</si>
  <si>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</si>
  <si>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</si>
  <si>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</si>
  <si>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</si>
  <si>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</si>
  <si>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</si>
  <si>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</si>
  <si>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</si>
  <si>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</si>
  <si>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</si>
  <si>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</si>
  <si>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</si>
  <si>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</si>
  <si>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</si>
  <si>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</si>
  <si>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</si>
  <si>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</si>
  <si>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</si>
  <si>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</si>
  <si>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</si>
  <si>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</si>
  <si>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</si>
  <si>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</si>
  <si>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</si>
  <si>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</si>
  <si>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</si>
  <si>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</si>
  <si>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</si>
  <si>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</si>
  <si>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</si>
  <si>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</si>
  <si>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</si>
  <si>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</si>
  <si>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</si>
  <si>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</si>
  <si>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</si>
  <si>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</si>
  <si>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</si>
  <si>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</si>
  <si>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</si>
  <si>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</si>
  <si>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</si>
  <si>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</si>
  <si>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</si>
  <si>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</si>
  <si>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</si>
  <si>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</si>
  <si>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</si>
  <si>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</si>
  <si>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</si>
  <si>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</si>
  <si>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</si>
  <si>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</si>
  <si>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</si>
  <si>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</si>
  <si>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</si>
  <si>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</si>
  <si>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</si>
  <si>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</si>
  <si>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</si>
  <si>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</si>
  <si>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</si>
  <si>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</si>
  <si>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</si>
  <si>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</si>
  <si>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</si>
  <si>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</si>
  <si>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</si>
  <si>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</si>
  <si>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</si>
  <si>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</si>
  <si>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</si>
  <si>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</si>
  <si>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</si>
  <si>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</si>
  <si>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</si>
  <si>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</si>
  <si>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</si>
  <si>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</si>
  <si>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</si>
  <si>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</si>
  <si>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</si>
  <si>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</si>
  <si>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</si>
  <si>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</si>
  <si>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</si>
  <si>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</si>
  <si>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</si>
  <si>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</si>
  <si>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</si>
  <si>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</si>
  <si>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</si>
  <si>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</si>
  <si>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</si>
  <si>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</si>
  <si>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</si>
  <si>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</si>
  <si>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</si>
  <si>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</si>
  <si>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</si>
  <si>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</si>
  <si>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</si>
  <si>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</si>
  <si>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</si>
  <si>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</si>
  <si>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</si>
  <si>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</si>
  <si>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</si>
  <si>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</si>
  <si>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</si>
  <si>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</si>
  <si>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</si>
  <si>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</si>
  <si>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</si>
  <si>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</si>
  <si>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</si>
  <si>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</si>
  <si>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</si>
  <si>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</si>
  <si>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</si>
  <si>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</si>
  <si>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</si>
  <si>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</si>
  <si>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</si>
  <si>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</si>
  <si>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</si>
  <si>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</si>
  <si>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</si>
  <si>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</si>
  <si>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</si>
  <si>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</si>
  <si>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</si>
  <si>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</si>
  <si>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</si>
  <si>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</si>
  <si>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</si>
  <si>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</si>
  <si>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</si>
  <si>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</si>
  <si>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</si>
  <si>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</si>
  <si>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</si>
  <si>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</si>
  <si>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</si>
  <si>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</si>
  <si>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</si>
  <si>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</si>
  <si>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</si>
  <si>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</si>
  <si>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</si>
  <si>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</si>
  <si>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</si>
  <si>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</si>
  <si>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</si>
  <si>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</si>
  <si>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</si>
  <si>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</si>
  <si>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</si>
  <si>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</si>
  <si>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</si>
  <si>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</si>
  <si>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</si>
  <si>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</si>
  <si>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</si>
  <si>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</si>
  <si>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</si>
  <si>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</si>
  <si>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</si>
  <si>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</si>
  <si>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</si>
  <si>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</si>
  <si>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</si>
  <si>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</si>
  <si>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</si>
  <si>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</si>
  <si>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</si>
  <si>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</si>
  <si>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</si>
  <si>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</si>
  <si>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</si>
  <si>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</si>
  <si>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</si>
  <si>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</si>
  <si>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</si>
  <si>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</si>
  <si>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</si>
  <si>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</si>
  <si>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</si>
  <si>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</si>
  <si>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</si>
  <si>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</si>
  <si>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</si>
  <si>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</si>
  <si>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</si>
  <si>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</si>
  <si>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</si>
  <si>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</si>
  <si>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</si>
  <si>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</si>
  <si>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</si>
  <si>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</si>
  <si>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</si>
  <si>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</si>
  <si>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</si>
  <si>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</si>
  <si>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</si>
  <si>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</si>
  <si>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</si>
  <si>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</si>
  <si>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</si>
  <si>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</si>
  <si>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</si>
  <si>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</si>
  <si>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</si>
  <si>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</si>
  <si>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</si>
  <si>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</si>
  <si>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</si>
  <si>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</si>
  <si>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</si>
  <si>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</si>
  <si>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</si>
  <si>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</si>
  <si>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</si>
  <si>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</si>
  <si>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</si>
  <si>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</si>
  <si>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</si>
  <si>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</si>
  <si>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</si>
  <si>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</si>
  <si>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</si>
  <si>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</si>
  <si>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</si>
  <si>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</si>
  <si>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</si>
  <si>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</si>
  <si>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</si>
  <si>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</si>
  <si>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</si>
  <si>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</si>
  <si>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</si>
  <si>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</si>
  <si>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</si>
  <si>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</si>
  <si>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</si>
  <si>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</si>
  <si>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</si>
  <si>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</si>
  <si>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</si>
  <si>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</si>
  <si>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</si>
  <si>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</si>
  <si>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</si>
  <si>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</si>
  <si>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</si>
  <si>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</si>
  <si>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</si>
  <si>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</si>
  <si>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</si>
  <si>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</si>
  <si>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</si>
  <si>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</si>
  <si>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</si>
  <si>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</si>
  <si>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</si>
  <si>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</si>
  <si>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</si>
  <si>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</si>
  <si>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</si>
  <si>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</si>
  <si>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</si>
  <si>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</si>
  <si>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</si>
  <si>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</si>
  <si>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</si>
  <si>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</si>
  <si>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</si>
  <si>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</si>
  <si>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</si>
  <si>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</si>
  <si>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</si>
  <si>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</si>
  <si>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</si>
  <si>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</si>
  <si>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</si>
  <si>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</si>
  <si>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</si>
  <si>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</si>
  <si>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</si>
  <si>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</si>
  <si>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</si>
  <si>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</si>
  <si>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</si>
  <si>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</si>
  <si>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</si>
  <si>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</si>
  <si>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</si>
  <si>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</si>
  <si>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</si>
  <si>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</si>
  <si>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</si>
  <si>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</si>
  <si>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</si>
  <si>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</si>
  <si>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</si>
  <si>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</si>
  <si>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</si>
  <si>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</si>
  <si>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</si>
  <si>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</si>
  <si>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</si>
  <si>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</si>
  <si>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</si>
  <si>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</si>
  <si>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</si>
  <si>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</si>
  <si>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</si>
  <si>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</si>
  <si>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</si>
  <si>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</si>
  <si>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</si>
  <si>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</si>
  <si>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</si>
  <si>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</si>
  <si>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</si>
  <si>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</si>
  <si>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</si>
  <si>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</si>
  <si>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</si>
  <si>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</si>
  <si>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</si>
  <si>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</si>
  <si>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</si>
  <si>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</si>
  <si>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</si>
  <si>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</si>
  <si>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</si>
  <si>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</si>
  <si>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</si>
  <si>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</si>
  <si>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</si>
  <si>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</si>
  <si>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</si>
  <si>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</si>
  <si>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</si>
  <si>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</si>
  <si>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</si>
  <si>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</si>
  <si>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</si>
  <si>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</si>
  <si>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</si>
  <si>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</si>
  <si>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</si>
  <si>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</si>
  <si>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</si>
  <si>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</si>
  <si>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</si>
  <si>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</si>
  <si>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</si>
  <si>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</si>
  <si>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</si>
  <si>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</si>
  <si>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</si>
  <si>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</si>
  <si>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</si>
  <si>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</si>
  <si>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</si>
  <si>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</si>
  <si>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</si>
  <si>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</si>
  <si>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</si>
  <si>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</si>
  <si>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</si>
  <si>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</si>
  <si>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</si>
  <si>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</si>
  <si>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</si>
  <si>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</si>
  <si>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</si>
  <si>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</si>
  <si>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</si>
  <si>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</si>
  <si>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</si>
  <si>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</si>
  <si>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</si>
  <si>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</si>
  <si>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</si>
  <si>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</si>
  <si>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</si>
  <si>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</si>
  <si>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</si>
  <si>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</si>
  <si>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</si>
  <si>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</si>
  <si>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</si>
  <si>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</si>
  <si>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</si>
  <si>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</si>
  <si>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</si>
  <si>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</si>
  <si>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</si>
  <si>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</si>
  <si>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</si>
  <si>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</si>
  <si>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</si>
  <si>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</si>
  <si>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</si>
  <si>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</si>
  <si>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</si>
  <si>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</si>
  <si>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</si>
  <si>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</si>
  <si>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</si>
  <si>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</si>
  <si>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</si>
  <si>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</si>
  <si>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</si>
  <si>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</si>
  <si>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</si>
  <si>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</si>
  <si>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</si>
  <si>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</si>
  <si>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</si>
  <si>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</si>
  <si>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</si>
  <si>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</si>
  <si>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</si>
  <si>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</si>
  <si>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</si>
  <si>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</si>
  <si>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</si>
  <si>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</si>
  <si>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</si>
  <si>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</si>
  <si>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</si>
  <si>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</si>
  <si>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</si>
  <si>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</si>
  <si>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</si>
  <si>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</si>
  <si>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</si>
  <si>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</si>
  <si>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</si>
  <si>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</si>
  <si>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</si>
  <si>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</si>
  <si>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</si>
  <si>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</si>
  <si>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</si>
  <si>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</si>
  <si>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</si>
  <si>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</si>
  <si>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</si>
  <si>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</si>
  <si>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</si>
  <si>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</si>
  <si>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</si>
  <si>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</si>
  <si>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</si>
  <si>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</si>
  <si>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</si>
  <si>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</si>
  <si>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</si>
  <si>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</si>
  <si>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</si>
  <si>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</si>
  <si>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</si>
  <si>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</si>
  <si>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</si>
  <si>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</si>
  <si>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</si>
  <si>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</si>
  <si>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</si>
  <si>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</si>
  <si>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</si>
  <si>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</si>
  <si>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</si>
  <si>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</si>
  <si>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</si>
  <si>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</si>
  <si>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</si>
  <si>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</si>
  <si>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</si>
  <si>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</si>
  <si>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</si>
  <si>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</si>
  <si>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</si>
  <si>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</si>
  <si>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</si>
  <si>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</si>
  <si>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</si>
  <si>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</si>
  <si>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</si>
  <si>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</si>
  <si>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</si>
  <si>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</si>
  <si>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</si>
  <si>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</si>
  <si>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</si>
  <si>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</si>
  <si>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</si>
  <si>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</si>
  <si>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</si>
  <si>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</si>
  <si>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</si>
  <si>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</si>
  <si>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</si>
  <si>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</si>
  <si>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</si>
  <si>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</si>
  <si>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</si>
  <si>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</si>
  <si>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</si>
  <si>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</si>
  <si>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</si>
  <si>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</si>
  <si>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</si>
  <si>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</si>
  <si>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</si>
  <si>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</si>
  <si>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</si>
  <si>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</si>
  <si>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</si>
  <si>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</si>
  <si>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</si>
  <si>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</si>
  <si>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</si>
  <si>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</si>
  <si>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</si>
  <si>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</si>
  <si>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</si>
  <si>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</si>
  <si>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</si>
  <si>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</si>
  <si>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</si>
  <si>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</si>
  <si>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</si>
  <si>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</si>
  <si>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</si>
  <si>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</si>
  <si>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</si>
  <si>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</si>
  <si>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</si>
  <si>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</si>
  <si>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</si>
  <si>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</si>
  <si>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</si>
  <si>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</si>
  <si>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</si>
  <si>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</si>
  <si>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</si>
  <si>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</si>
  <si>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</si>
  <si>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</si>
  <si>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</si>
  <si>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</si>
  <si>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</si>
  <si>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</si>
  <si>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</si>
  <si>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</si>
  <si>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</si>
  <si>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</si>
  <si>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</si>
  <si>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</si>
  <si>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</si>
  <si>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</si>
  <si>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</si>
  <si>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</si>
  <si>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</si>
  <si>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</si>
  <si>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</si>
  <si>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</si>
  <si>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</si>
  <si>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</si>
  <si>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</si>
  <si>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</si>
  <si>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</si>
  <si>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</si>
  <si>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</si>
  <si>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</si>
  <si>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</si>
  <si>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</si>
  <si>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</si>
  <si>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</si>
  <si>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</si>
  <si>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</si>
  <si>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</si>
  <si>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</si>
  <si>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</si>
  <si>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</si>
  <si>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</si>
  <si>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</si>
  <si>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</si>
  <si>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</si>
  <si>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</si>
  <si>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</si>
  <si>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</si>
  <si>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</si>
  <si>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</si>
  <si>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</si>
  <si>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</si>
  <si>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</si>
  <si>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</si>
  <si>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</si>
  <si>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</si>
  <si>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</si>
  <si>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</si>
  <si>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</si>
  <si>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</si>
  <si>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</si>
  <si>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</si>
  <si>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</si>
  <si>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</si>
  <si>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</si>
  <si>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</si>
  <si>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</si>
  <si>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</si>
  <si>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</si>
  <si>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</si>
  <si>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</si>
  <si>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</si>
  <si>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</si>
  <si>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</si>
  <si>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</si>
  <si>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</si>
  <si>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</si>
  <si>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</si>
  <si>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</si>
  <si>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</si>
  <si>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</si>
  <si>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</si>
  <si>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</si>
  <si>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</si>
  <si>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</si>
  <si>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</si>
  <si>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</si>
  <si>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</si>
  <si>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</si>
  <si>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</si>
  <si>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</si>
  <si>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</si>
  <si>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</si>
  <si>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</si>
  <si>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</si>
  <si>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</si>
  <si>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</si>
  <si>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</si>
  <si>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</si>
  <si>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</si>
  <si>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</si>
  <si>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</si>
  <si>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</si>
  <si>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</si>
  <si>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</si>
  <si>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</si>
  <si>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</si>
  <si>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</si>
  <si>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</si>
  <si>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</si>
  <si>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</si>
  <si>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</si>
  <si>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</si>
  <si>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</si>
  <si>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</si>
  <si>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</si>
  <si>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</si>
  <si>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</si>
  <si>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</si>
  <si>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</si>
  <si>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</si>
  <si>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</si>
  <si>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</si>
  <si>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</si>
  <si>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</si>
  <si>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</si>
  <si>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</si>
  <si>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</si>
  <si>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</si>
  <si>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</si>
  <si>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</si>
  <si>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</si>
  <si>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</si>
  <si>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</si>
  <si>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</si>
  <si>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</si>
  <si>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</si>
  <si>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</si>
  <si>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</si>
  <si>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</si>
  <si>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</si>
  <si>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</si>
  <si>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</si>
  <si>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</si>
  <si>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</si>
  <si>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</si>
  <si>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</si>
  <si>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</si>
  <si>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</si>
  <si>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</si>
  <si>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</si>
  <si>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</si>
  <si>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</si>
  <si>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</si>
  <si>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</si>
  <si>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</si>
  <si>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</si>
  <si>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</si>
  <si>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</si>
  <si>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</si>
  <si>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</si>
  <si>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</si>
  <si>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</si>
  <si>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</si>
  <si>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</si>
  <si>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</si>
  <si>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</si>
  <si>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</si>
  <si>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</si>
  <si>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</si>
  <si>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</si>
  <si>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</si>
  <si>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</si>
  <si>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</si>
  <si>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</si>
  <si>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</si>
  <si>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</si>
  <si>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</si>
  <si>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</si>
  <si>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</si>
  <si>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</si>
  <si>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</si>
  <si>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</si>
  <si>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</si>
  <si>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</si>
  <si>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</si>
  <si>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</si>
  <si>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</si>
  <si>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</si>
  <si>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</si>
  <si>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</si>
  <si>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</si>
  <si>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</si>
  <si>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</si>
  <si>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</si>
  <si>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</si>
  <si>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</si>
  <si>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</si>
  <si>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</si>
  <si>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</si>
  <si>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</si>
  <si>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</si>
  <si>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</si>
  <si>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</si>
  <si>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</si>
  <si>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</si>
  <si>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</si>
  <si>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</si>
  <si>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</si>
  <si>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</si>
  <si>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</si>
  <si>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</si>
  <si>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</si>
  <si>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</si>
  <si>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</si>
  <si>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</si>
  <si>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</si>
  <si>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</si>
  <si>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</si>
  <si>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</si>
  <si>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</si>
  <si>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</si>
  <si>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</si>
  <si>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</si>
  <si>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</si>
  <si>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</si>
  <si>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</si>
  <si>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</si>
  <si>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</si>
  <si>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</si>
  <si>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</si>
  <si>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</si>
  <si>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</si>
  <si>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</si>
  <si>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</si>
  <si>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</si>
  <si>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</si>
  <si>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</si>
  <si>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</si>
  <si>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</si>
  <si>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</si>
  <si>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</si>
  <si>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</si>
  <si>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</si>
  <si>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</si>
  <si>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</si>
  <si>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</si>
  <si>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</si>
  <si>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</si>
  <si>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</si>
  <si>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</si>
  <si>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</si>
  <si>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</si>
  <si>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</si>
  <si>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</si>
  <si>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</si>
  <si>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</si>
  <si>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</si>
  <si>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</si>
  <si>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</si>
  <si>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</si>
  <si>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</si>
  <si>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</si>
  <si>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</si>
  <si>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</si>
  <si>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</si>
  <si>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</si>
  <si>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</si>
  <si>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</si>
  <si>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</si>
  <si>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</si>
  <si>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</si>
  <si>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</si>
  <si>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</si>
  <si>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</si>
  <si>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</si>
  <si>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</si>
  <si>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</si>
  <si>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</si>
  <si>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</si>
  <si>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</si>
  <si>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</si>
  <si>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</si>
  <si>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</si>
  <si>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</si>
  <si>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</si>
  <si>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</si>
  <si>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</si>
  <si>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</si>
  <si>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</si>
  <si>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</si>
  <si>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</si>
  <si>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</si>
  <si>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</si>
  <si>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</si>
  <si>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</si>
  <si>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</si>
  <si>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</si>
  <si>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</si>
  <si>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</si>
  <si>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</si>
  <si>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</si>
  <si>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</si>
  <si>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</si>
  <si>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</si>
  <si>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</si>
  <si>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</si>
  <si>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</si>
  <si>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</si>
  <si>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</si>
  <si>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</si>
  <si>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</si>
  <si>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</si>
  <si>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</si>
  <si>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</si>
  <si>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</si>
  <si>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</si>
  <si>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</si>
  <si>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</si>
  <si>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</si>
  <si>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</si>
  <si>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</si>
  <si>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</si>
  <si>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</si>
  <si>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</si>
  <si>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</si>
  <si>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</si>
  <si>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</si>
  <si>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</si>
  <si>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</si>
  <si>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</si>
  <si>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</si>
  <si>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</si>
  <si>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</si>
  <si>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</si>
  <si>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</si>
  <si>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</si>
  <si>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</si>
  <si>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</si>
  <si>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</si>
  <si>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</si>
  <si>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</si>
  <si>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</si>
  <si>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</si>
  <si>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</si>
  <si>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</si>
  <si>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</si>
  <si>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</si>
  <si>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</si>
  <si>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</si>
  <si>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</si>
  <si>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</si>
  <si>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</si>
  <si>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</si>
  <si>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</si>
  <si>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</si>
  <si>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</si>
  <si>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</si>
  <si>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</si>
  <si>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</si>
  <si>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</si>
  <si>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</si>
  <si>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</si>
  <si>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</si>
  <si>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</si>
  <si>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</si>
  <si>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</si>
  <si>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</si>
  <si>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</si>
  <si>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</si>
  <si>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</si>
  <si>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</si>
  <si>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</si>
  <si>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</si>
  <si>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</si>
  <si>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</si>
  <si>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</si>
  <si>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</si>
  <si>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</si>
  <si>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</si>
  <si>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</si>
  <si>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</si>
  <si>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</si>
  <si>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</si>
  <si>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</si>
  <si>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</si>
  <si>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</si>
  <si>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</si>
  <si>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</si>
  <si>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</si>
  <si>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</si>
  <si>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</si>
  <si>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</si>
  <si>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</si>
  <si>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</si>
  <si>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</si>
  <si>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</si>
  <si>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</si>
  <si>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</si>
  <si>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</si>
  <si>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</si>
  <si>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</si>
  <si>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</si>
  <si>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</si>
  <si>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</si>
  <si>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</si>
  <si>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</si>
  <si>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</si>
  <si>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</si>
  <si>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</si>
  <si>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</si>
  <si>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</si>
  <si>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</si>
  <si>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</si>
  <si>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</si>
  <si>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</si>
  <si>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</si>
  <si>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</si>
  <si>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</si>
  <si>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</si>
  <si>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</si>
  <si>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</si>
  <si>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</si>
  <si>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</si>
  <si>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</si>
  <si>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</si>
  <si>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</si>
  <si>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</si>
  <si>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</si>
  <si>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</si>
  <si>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</si>
  <si>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</si>
  <si>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</si>
  <si>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</si>
  <si>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</si>
  <si>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</si>
  <si>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</si>
  <si>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</si>
  <si>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</si>
  <si>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</si>
  <si>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</si>
  <si>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</si>
  <si>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</si>
  <si>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</si>
  <si>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</si>
  <si>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</si>
  <si>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</si>
  <si>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</si>
  <si>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</si>
  <si>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</si>
  <si>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</si>
  <si>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</si>
  <si>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</si>
  <si>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</si>
  <si>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</si>
  <si>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</si>
  <si>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</si>
  <si>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</si>
  <si>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</si>
  <si>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</si>
  <si>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</si>
  <si>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</si>
  <si>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</si>
  <si>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</si>
  <si>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</si>
  <si>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</si>
  <si>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</si>
  <si>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</si>
  <si>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</si>
  <si>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</si>
  <si>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</si>
  <si>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</si>
  <si>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</si>
  <si>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</si>
  <si>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</si>
  <si>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</si>
  <si>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</si>
  <si>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</si>
  <si>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</si>
  <si>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</si>
  <si>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</si>
  <si>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</si>
  <si>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</si>
  <si>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</si>
  <si>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</si>
  <si>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</si>
  <si>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</si>
  <si>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</si>
  <si>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</si>
  <si>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</si>
  <si>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</si>
  <si>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</si>
  <si>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</si>
  <si>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</si>
  <si>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</si>
  <si>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</si>
  <si>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</si>
  <si>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</si>
  <si>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</si>
  <si>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</si>
  <si>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</si>
  <si>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</si>
  <si>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</si>
  <si>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</si>
  <si>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</si>
  <si>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</si>
  <si>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</si>
  <si>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</si>
  <si>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</si>
  <si>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</si>
  <si>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</si>
  <si>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</si>
  <si>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</si>
  <si>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</si>
  <si>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</si>
  <si>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</si>
  <si>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</si>
  <si>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</si>
  <si>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</si>
  <si>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</si>
  <si>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</si>
  <si>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</si>
  <si>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</si>
  <si>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</si>
  <si>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</si>
  <si>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</si>
  <si>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</si>
  <si>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</si>
  <si>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</si>
  <si>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</si>
  <si>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</si>
  <si>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</si>
  <si>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</si>
  <si>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</si>
  <si>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</si>
  <si>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</si>
  <si>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</si>
  <si>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</si>
  <si>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</si>
  <si>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</si>
  <si>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</si>
  <si>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</si>
  <si>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</si>
  <si>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</si>
  <si>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</si>
  <si>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</si>
  <si>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</si>
  <si>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</si>
  <si>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</si>
  <si>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</si>
  <si>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</si>
  <si>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</si>
  <si>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</si>
  <si>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</si>
  <si>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</si>
  <si>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</si>
  <si>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</si>
  <si>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</si>
  <si>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</si>
  <si>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</si>
  <si>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</si>
  <si>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</si>
  <si>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</si>
  <si>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</si>
  <si>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</si>
  <si>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</si>
  <si>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</si>
  <si>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</si>
  <si>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</si>
  <si>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</si>
  <si>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</si>
  <si>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</si>
  <si>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</si>
  <si>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</si>
  <si>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</si>
  <si>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</si>
  <si>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</si>
  <si>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</si>
  <si>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</si>
  <si>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</si>
  <si>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</si>
  <si>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</si>
  <si>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</si>
  <si>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</si>
  <si>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</si>
  <si>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</si>
  <si>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</si>
  <si>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</si>
  <si>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</si>
  <si>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</si>
  <si>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</si>
  <si>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</si>
  <si>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</si>
  <si>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</si>
  <si>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</si>
  <si>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</si>
  <si>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</si>
  <si>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</si>
  <si>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</si>
  <si>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</si>
  <si>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</si>
  <si>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</si>
  <si>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</si>
  <si>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</si>
  <si>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</si>
  <si>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</si>
  <si>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</si>
  <si>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</si>
  <si>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</si>
  <si>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</si>
  <si>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</si>
  <si>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</si>
  <si>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</si>
  <si>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</si>
  <si>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</si>
  <si>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</si>
  <si>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</si>
  <si>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</si>
  <si>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</si>
  <si>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</si>
  <si>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</si>
  <si>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</si>
  <si>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</si>
  <si>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</si>
  <si>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</si>
  <si>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</si>
  <si>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</si>
  <si>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</si>
  <si>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</si>
  <si>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</si>
  <si>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</si>
  <si>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</si>
  <si>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</si>
  <si>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</si>
  <si>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</si>
  <si>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</si>
  <si>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</si>
  <si>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</si>
  <si>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</si>
  <si>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</si>
  <si>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</si>
  <si>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</si>
  <si>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</si>
  <si>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</si>
  <si>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</si>
  <si>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</si>
  <si>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</si>
  <si>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</si>
  <si>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</si>
  <si>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</si>
  <si>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</si>
  <si>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</si>
  <si>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</si>
  <si>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</si>
  <si>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</si>
  <si>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</si>
  <si>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</si>
  <si>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</si>
  <si>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</si>
  <si>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</si>
  <si>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</si>
  <si>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</si>
  <si>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</si>
  <si>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</si>
  <si>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</si>
  <si>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</si>
  <si>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</si>
  <si>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</si>
  <si>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</si>
  <si>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</si>
  <si>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</si>
  <si>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</si>
  <si>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</si>
  <si>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</si>
  <si>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</si>
  <si>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</si>
  <si>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</si>
  <si>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</si>
  <si>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</si>
  <si>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</si>
  <si>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</si>
  <si>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</si>
  <si>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</si>
  <si>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</si>
  <si>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</si>
  <si>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</si>
  <si>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</si>
  <si>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</si>
  <si>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</si>
  <si>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</si>
  <si>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</si>
  <si>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</si>
  <si>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</si>
  <si>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</si>
  <si>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</si>
  <si>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</si>
  <si>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</si>
  <si>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</si>
  <si>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</si>
  <si>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</si>
  <si>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</si>
  <si>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</si>
  <si>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</si>
  <si>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</si>
  <si>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</si>
  <si>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</si>
  <si>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</si>
  <si>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</si>
  <si>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</si>
  <si>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</si>
  <si>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</si>
  <si>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</si>
  <si>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</si>
  <si>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</si>
  <si>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</si>
  <si>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</si>
  <si>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</si>
  <si>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</si>
  <si>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</si>
  <si>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</si>
  <si>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</si>
  <si>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</si>
  <si>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</si>
  <si>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</si>
  <si>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</si>
  <si>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</si>
  <si>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</si>
  <si>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</si>
  <si>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</si>
  <si>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</si>
  <si>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</si>
  <si>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</si>
  <si>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</si>
  <si>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</si>
  <si>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</si>
  <si>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</si>
  <si>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</si>
  <si>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</si>
  <si>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</si>
  <si>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</si>
  <si>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</si>
  <si>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</si>
  <si>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</si>
  <si>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</si>
  <si>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</si>
  <si>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</si>
  <si>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</si>
  <si>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</si>
  <si>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</si>
  <si>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</si>
  <si>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</si>
  <si>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</si>
  <si>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</si>
  <si>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</si>
  <si>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</si>
  <si>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</si>
  <si>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</si>
  <si>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</si>
  <si>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</si>
  <si>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</si>
  <si>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</si>
  <si>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</si>
  <si>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</si>
  <si>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</si>
  <si>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</si>
  <si>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</si>
  <si>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</si>
  <si>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</si>
  <si>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</si>
  <si>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</si>
  <si>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</si>
  <si>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</si>
  <si>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</si>
  <si>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</si>
  <si>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</si>
  <si>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</si>
  <si>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</si>
  <si>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</si>
  <si>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</si>
  <si>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</si>
  <si>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</si>
  <si>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</si>
  <si>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</si>
  <si>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</si>
  <si>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</si>
  <si>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</si>
  <si>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</si>
  <si>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</si>
  <si>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</si>
  <si>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</si>
  <si>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</si>
  <si>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</si>
  <si>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</si>
  <si>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</si>
  <si>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</si>
  <si>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</si>
  <si>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</si>
  <si>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</si>
  <si>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</si>
  <si>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</si>
  <si>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</si>
  <si>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</si>
  <si>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</si>
  <si>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</si>
  <si>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</si>
  <si>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</si>
  <si>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</si>
  <si>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</si>
  <si>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</si>
  <si>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</si>
  <si>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</si>
  <si>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</si>
  <si>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</si>
  <si>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</si>
  <si>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</si>
  <si>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</si>
  <si>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</si>
  <si>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</si>
  <si>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</si>
  <si>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</si>
  <si>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</si>
  <si>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</si>
  <si>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</si>
  <si>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</si>
  <si>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</si>
  <si>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</si>
  <si>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</si>
  <si>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</si>
  <si>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</si>
  <si>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</si>
  <si>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</si>
  <si>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</si>
  <si>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</si>
  <si>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</si>
  <si>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</si>
  <si>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</si>
  <si>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</si>
  <si>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</si>
  <si>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</si>
  <si>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</si>
  <si>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</si>
  <si>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</si>
  <si>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</si>
  <si>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</si>
  <si>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</si>
  <si>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</si>
  <si>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</si>
  <si>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</si>
  <si>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</si>
  <si>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</si>
  <si>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</si>
  <si>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</si>
  <si>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</si>
  <si>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</si>
  <si>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</si>
  <si>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</si>
  <si>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</si>
  <si>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</si>
  <si>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</si>
  <si>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</si>
  <si>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</si>
  <si>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</si>
  <si>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</si>
  <si>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</si>
  <si>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</si>
  <si>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</si>
  <si>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</si>
  <si>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</si>
  <si>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</si>
  <si>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</si>
  <si>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</si>
  <si>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</si>
  <si>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</si>
  <si>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</si>
  <si>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</si>
  <si>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</si>
  <si>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</si>
  <si>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</si>
  <si>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</si>
  <si>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</si>
  <si>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</si>
  <si>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</si>
  <si>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</si>
  <si>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</si>
  <si>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</si>
  <si>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</si>
  <si>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</si>
  <si>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</si>
  <si>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</si>
  <si>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</si>
  <si>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</si>
  <si>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</si>
  <si>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</si>
  <si>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</si>
  <si>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</si>
  <si>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</si>
  <si>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</si>
  <si>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</si>
  <si>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</si>
  <si>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</si>
  <si>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</si>
  <si>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</si>
  <si>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</si>
  <si>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</si>
  <si>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</si>
  <si>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</si>
  <si>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</si>
  <si>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</si>
  <si>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</si>
  <si>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</si>
  <si>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</si>
  <si>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</si>
  <si>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</si>
  <si>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</si>
  <si>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</si>
  <si>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</si>
  <si>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</si>
  <si>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</si>
  <si>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</si>
  <si>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</si>
  <si>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</si>
  <si>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</si>
  <si>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</si>
  <si>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</si>
  <si>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</si>
  <si>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</si>
  <si>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</si>
  <si>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</si>
  <si>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</si>
  <si>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</si>
  <si>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</si>
  <si>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</si>
  <si>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</si>
  <si>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</si>
  <si>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</si>
  <si>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</si>
  <si>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</si>
  <si>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</si>
  <si>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</si>
  <si>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</si>
  <si>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</si>
  <si>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</si>
  <si>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</si>
  <si>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</si>
  <si>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</si>
  <si>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</si>
  <si>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</si>
  <si>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</si>
  <si>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</si>
  <si>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</si>
  <si>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</si>
  <si>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</si>
  <si>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</si>
  <si>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</si>
  <si>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</si>
  <si>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</si>
  <si>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</si>
  <si>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</si>
  <si>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</si>
  <si>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</si>
  <si>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</si>
  <si>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</si>
  <si>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</si>
  <si>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</si>
  <si>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</si>
  <si>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</si>
  <si>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</si>
  <si>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</si>
  <si>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</si>
  <si>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</si>
  <si>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</si>
  <si>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</si>
  <si>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</si>
  <si>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</si>
  <si>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</si>
  <si>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</si>
  <si>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</si>
  <si>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</si>
  <si>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</si>
  <si>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</si>
  <si>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</si>
  <si>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</si>
  <si>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</si>
  <si>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</si>
  <si>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</si>
  <si>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</si>
  <si>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</si>
  <si>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</si>
  <si>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</si>
  <si>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</si>
  <si>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</si>
  <si>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</si>
  <si>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</si>
  <si>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</si>
  <si>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</si>
  <si>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</si>
  <si>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</si>
  <si>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</si>
  <si>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</si>
  <si>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</si>
  <si>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</si>
  <si>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</si>
  <si>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</si>
  <si>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</si>
  <si>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</si>
  <si>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</si>
  <si>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</si>
  <si>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</si>
  <si>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</si>
  <si>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</si>
  <si>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</si>
  <si>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</si>
  <si>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</si>
  <si>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</si>
  <si>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</si>
  <si>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</si>
  <si>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</si>
  <si>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</si>
  <si>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</si>
  <si>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</si>
  <si>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</si>
  <si>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</si>
  <si>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</si>
  <si>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</si>
  <si>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</si>
  <si>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</si>
  <si>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</si>
  <si>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</si>
  <si>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</si>
  <si>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</si>
  <si>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</si>
  <si>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</si>
  <si>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</si>
  <si>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</si>
  <si>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</si>
  <si>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</si>
  <si>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</si>
  <si>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</si>
  <si>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</si>
  <si>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</si>
  <si>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</si>
  <si>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</si>
  <si>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</si>
  <si>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</si>
  <si>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</si>
  <si>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</si>
  <si>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</si>
  <si>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</si>
  <si>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</si>
  <si>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</si>
  <si>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</si>
  <si>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</si>
  <si>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</si>
  <si>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</si>
  <si>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</si>
  <si>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</si>
  <si>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</si>
  <si>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</si>
  <si>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</si>
  <si>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</si>
  <si>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</si>
  <si>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</si>
  <si>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</si>
  <si>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</si>
  <si>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</si>
  <si>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</si>
  <si>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</si>
  <si>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</si>
  <si>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</si>
  <si>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</si>
  <si>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</si>
  <si>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</si>
  <si>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</si>
  <si>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</si>
  <si>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</si>
  <si>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</si>
  <si>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</si>
  <si>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</si>
  <si>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</si>
  <si>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</si>
  <si>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</si>
  <si>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</si>
  <si>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</si>
  <si>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</si>
  <si>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</si>
  <si>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</si>
  <si>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</si>
  <si>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</si>
  <si>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</si>
  <si>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</si>
  <si>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</si>
  <si>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</si>
  <si>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</si>
  <si>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</si>
  <si>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</si>
  <si>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</si>
  <si>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</si>
  <si>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</si>
  <si>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</si>
  <si>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</si>
  <si>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</si>
  <si>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</si>
  <si>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</si>
  <si>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</si>
  <si>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</si>
  <si>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</si>
  <si>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</si>
  <si>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</si>
  <si>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</si>
  <si>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</si>
  <si>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</si>
  <si>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</si>
  <si>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</si>
  <si>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</si>
  <si>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</si>
  <si>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</si>
  <si>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</si>
  <si>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</si>
  <si>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</si>
  <si>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</si>
  <si>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</si>
  <si>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</si>
  <si>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</si>
  <si>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</si>
  <si>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</si>
  <si>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</si>
  <si>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</si>
  <si>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</si>
  <si>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</si>
  <si>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</si>
  <si>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</si>
  <si>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</si>
  <si>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</si>
  <si>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</si>
  <si>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</si>
  <si>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</si>
  <si>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</si>
  <si>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</si>
  <si>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</si>
  <si>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</si>
  <si>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</si>
  <si>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</si>
  <si>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</si>
  <si>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</si>
  <si>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</si>
  <si>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</si>
  <si>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</si>
  <si>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</si>
  <si>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</si>
  <si>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</si>
  <si>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</si>
  <si>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</si>
  <si>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</si>
  <si>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</si>
  <si>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</si>
  <si>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</si>
  <si>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</si>
  <si>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</si>
  <si>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</si>
  <si>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</si>
  <si>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</si>
  <si>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</si>
  <si>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</si>
  <si>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</si>
  <si>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</si>
  <si>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</si>
  <si>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</si>
  <si>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</si>
  <si>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</si>
  <si>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</si>
  <si>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</si>
  <si>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</si>
  <si>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</si>
  <si>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</si>
  <si>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</si>
  <si>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</si>
  <si>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</si>
  <si>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</si>
  <si>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</si>
  <si>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</si>
  <si>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</si>
  <si>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</si>
  <si>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</si>
  <si>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</si>
  <si>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</si>
  <si>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</si>
  <si>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</si>
  <si>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</si>
  <si>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</si>
  <si>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</si>
  <si>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</si>
  <si>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</si>
  <si>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</si>
  <si>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</si>
  <si>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</si>
  <si>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</si>
  <si>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</si>
  <si>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</si>
  <si>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</si>
  <si>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</si>
  <si>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</si>
  <si>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</si>
  <si>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</si>
  <si>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</si>
  <si>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</si>
  <si>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</si>
  <si>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</si>
  <si>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</si>
  <si>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</si>
  <si>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</si>
  <si>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</si>
  <si>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</si>
  <si>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</si>
  <si>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</si>
  <si>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</si>
  <si>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</si>
  <si>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</si>
  <si>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</si>
  <si>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</si>
  <si>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</si>
  <si>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</si>
  <si>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</si>
  <si>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</si>
  <si>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</si>
  <si>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</si>
  <si>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</si>
  <si>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</si>
  <si>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</si>
  <si>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</si>
  <si>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</si>
  <si>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</si>
  <si>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</si>
  <si>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</si>
  <si>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</si>
  <si>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</si>
  <si>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</si>
  <si>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</si>
  <si>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</si>
  <si>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</si>
  <si>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</si>
  <si>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</si>
  <si>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</si>
  <si>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</si>
  <si>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</si>
  <si>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</si>
  <si>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</si>
  <si>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</si>
  <si>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</si>
  <si>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</si>
  <si>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</si>
  <si>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</si>
  <si>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</si>
  <si>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</si>
  <si>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</si>
  <si>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</si>
  <si>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</si>
  <si>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</si>
  <si>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</si>
  <si>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</si>
  <si>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</si>
  <si>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</si>
  <si>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</si>
  <si>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</si>
  <si>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</si>
  <si>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</si>
  <si>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</si>
  <si>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</si>
  <si>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</si>
  <si>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</si>
  <si>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</si>
  <si>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</si>
  <si>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</si>
  <si>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</si>
  <si>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</si>
  <si>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</si>
  <si>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</si>
  <si>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</si>
  <si>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</si>
  <si>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</si>
  <si>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</si>
  <si>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</si>
  <si>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</si>
  <si>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</si>
  <si>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</si>
  <si>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</si>
  <si>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</si>
  <si>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</si>
  <si>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</si>
  <si>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</si>
  <si>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</si>
  <si>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</si>
  <si>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</si>
  <si>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</si>
  <si>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</si>
  <si>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</si>
  <si>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</si>
  <si>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</si>
  <si>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</si>
  <si>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</si>
  <si>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</si>
  <si>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</si>
  <si>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</si>
  <si>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</si>
  <si>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</si>
  <si>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</si>
  <si>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</si>
  <si>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</si>
  <si>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</si>
  <si>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</si>
  <si>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</si>
  <si>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</si>
  <si>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</si>
  <si>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</si>
  <si>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</si>
  <si>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</si>
  <si>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</si>
  <si>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</si>
  <si>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</si>
  <si>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</si>
  <si>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</si>
  <si>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</si>
  <si>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</si>
  <si>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</si>
  <si>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</si>
  <si>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</si>
  <si>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</si>
  <si>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</si>
  <si>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</si>
  <si>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</si>
  <si>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</si>
  <si>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</si>
  <si>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</si>
  <si>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</si>
  <si>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</si>
  <si>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</si>
  <si>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</si>
  <si>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</si>
  <si>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</si>
  <si>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</si>
  <si>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</si>
  <si>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</si>
  <si>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</si>
  <si>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</si>
  <si>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</si>
  <si>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</si>
  <si>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</si>
  <si>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</si>
  <si>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</si>
  <si>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</si>
  <si>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</si>
  <si>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</si>
  <si>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</si>
  <si>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</si>
  <si>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</si>
  <si>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</si>
  <si>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</si>
  <si>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</si>
  <si>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</si>
  <si>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</si>
  <si>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</si>
  <si>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</si>
  <si>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</si>
  <si>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</si>
  <si>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</si>
  <si>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</si>
  <si>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</si>
  <si>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</si>
  <si>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</si>
  <si>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</si>
  <si>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</si>
  <si>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</si>
  <si>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</si>
  <si>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</si>
  <si>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</si>
  <si>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</si>
  <si>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</si>
  <si>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</si>
  <si>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</si>
  <si>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</si>
  <si>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</si>
  <si>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</si>
  <si>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</si>
  <si>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</si>
  <si>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</si>
  <si>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</si>
  <si>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</si>
  <si>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</si>
  <si>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</si>
  <si>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</si>
  <si>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</si>
  <si>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</si>
  <si>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</si>
  <si>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</si>
  <si>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</si>
  <si>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</si>
  <si>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</si>
  <si>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</si>
  <si>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</si>
  <si>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</si>
  <si>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</si>
  <si>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</si>
  <si>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</si>
  <si>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</si>
  <si>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</si>
  <si>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</si>
  <si>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</si>
  <si>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</si>
  <si>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</si>
  <si>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</si>
  <si>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</si>
  <si>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</si>
  <si>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</si>
  <si>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</si>
  <si>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</si>
  <si>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</si>
  <si>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</si>
  <si>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</si>
  <si>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</si>
  <si>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</si>
  <si>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</si>
  <si>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</si>
  <si>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</si>
  <si>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</si>
  <si>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</si>
  <si>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</si>
  <si>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</si>
  <si>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</si>
  <si>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</si>
  <si>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</si>
  <si>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</si>
  <si>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</si>
  <si>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</si>
  <si>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</si>
  <si>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</si>
  <si>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</si>
  <si>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</si>
  <si>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</si>
  <si>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</si>
  <si>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</si>
  <si>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</si>
  <si>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</si>
  <si>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</si>
  <si>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</si>
  <si>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</si>
  <si>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</si>
  <si>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</si>
  <si>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</si>
  <si>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</si>
  <si>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</si>
  <si>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</si>
  <si>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</si>
  <si>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</si>
  <si>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</si>
  <si>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</si>
  <si>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</si>
  <si>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</si>
  <si>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</si>
  <si>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</si>
  <si>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</si>
  <si>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</si>
  <si>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</si>
  <si>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</si>
  <si>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</si>
  <si>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</si>
  <si>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</si>
  <si>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</si>
  <si>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</si>
  <si>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</si>
  <si>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</si>
  <si>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</si>
  <si>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04155352667</t>
  </si>
  <si>
    <t>04129466</t>
  </si>
  <si>
    <t>040315364</t>
  </si>
  <si>
    <t>PONIKVE EKO OTOK KRK D.O.O.</t>
  </si>
  <si>
    <t>KRK</t>
  </si>
  <si>
    <t>VRŠANSKA 14</t>
  </si>
  <si>
    <t>ponikve@ponikve.hr</t>
  </si>
  <si>
    <t>w.w.w.ponikve.hr</t>
  </si>
  <si>
    <t>051654620</t>
  </si>
  <si>
    <t>Zvjezdana Ponoš</t>
  </si>
  <si>
    <t>zvjezdana.ponos@ponikve.hr</t>
  </si>
  <si>
    <t>Neven Hržić str.spec.ing.građ.</t>
  </si>
  <si>
    <t>HSFI</t>
  </si>
  <si>
    <t>89015118914</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</si>
</sst>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53"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4136634.92</v>
      </c>
      <c r="I3" s="27">
        <f>ABS(ROUND(J3,0)-J3)+ABS(ROUND(K3,0)-K3)</f>
        <v>0</v>
      </c>
      <c r="J3" s="27">
        <f>Bilanca!I10</f>
        <v>89985650</v>
      </c>
      <c r="K3" s="27">
        <f>Bilanca!J10</f>
        <v>58423048</v>
      </c>
    </row>
    <row r="4" spans="1:11" ht="12.75">
      <c r="A4" s="4" t="s">
        <v>2697</v>
      </c>
      <c r="B4" s="25" t="s">
        <v>364</v>
      </c>
      <c r="D4" s="4" t="s">
        <v>554</v>
      </c>
      <c r="E4" s="4">
        <v>1</v>
      </c>
      <c r="F4" s="4">
        <f>Bilanca!G11</f>
        <v>3</v>
      </c>
      <c r="G4" s="4">
        <f>IF(Bilanca!H11=0,"",Bilanca!H11)</f>
      </c>
      <c r="H4" s="26">
        <f>J4/100*F4+2*K4/100*F4</f>
        <v>84524.37</v>
      </c>
      <c r="I4" s="27">
        <f>ABS(ROUND(J4,0)-J4)+ABS(ROUND(K4,0)-K4)</f>
        <v>0</v>
      </c>
      <c r="J4" s="27">
        <f>Bilanca!I11</f>
        <v>1113719</v>
      </c>
      <c r="K4" s="27">
        <f>Bilanca!J11</f>
        <v>851880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04129466</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040315364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04155352667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PONIKVE EKO OTOK KRK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51500</v>
      </c>
      <c r="D10" s="4" t="s">
        <v>554</v>
      </c>
      <c r="E10" s="4">
        <v>1</v>
      </c>
      <c r="F10" s="4">
        <f>Bilanca!G17</f>
        <v>9</v>
      </c>
      <c r="G10" s="4">
        <f>IF(Bilanca!H17=0,"",Bilanca!H17)</f>
      </c>
      <c r="H10" s="26">
        <f t="shared" si="0"/>
        <v>253573.11</v>
      </c>
      <c r="I10" s="27">
        <f t="shared" si="1"/>
        <v>0</v>
      </c>
      <c r="J10" s="27">
        <f>Bilanca!I17</f>
        <v>1113719</v>
      </c>
      <c r="K10" s="27">
        <f>Bilanca!J17</f>
        <v>851880</v>
      </c>
    </row>
    <row r="11" spans="1:11" ht="12.75">
      <c r="A11" s="4" t="s">
        <v>2737</v>
      </c>
      <c r="B11" s="25" t="str">
        <f>TRIM(RefStr!F31)</f>
        <v>KRK</v>
      </c>
      <c r="D11" s="4" t="s">
        <v>554</v>
      </c>
      <c r="E11" s="4">
        <v>1</v>
      </c>
      <c r="F11" s="4">
        <f>Bilanca!G18</f>
        <v>10</v>
      </c>
      <c r="G11" s="4">
        <f>IF(Bilanca!H18=0,"",Bilanca!H18)</f>
      </c>
      <c r="H11" s="26">
        <f t="shared" si="0"/>
        <v>19358564.9</v>
      </c>
      <c r="I11" s="27">
        <f t="shared" si="1"/>
        <v>0</v>
      </c>
      <c r="J11" s="27">
        <f>Bilanca!I18</f>
        <v>87900331</v>
      </c>
      <c r="K11" s="27">
        <f>Bilanca!J18</f>
        <v>52842659</v>
      </c>
    </row>
    <row r="12" spans="1:11" ht="12.75">
      <c r="A12" s="4" t="s">
        <v>2738</v>
      </c>
      <c r="B12" s="25" t="str">
        <f>TRIM(RefStr!C33)</f>
        <v>VRŠANSKA 14</v>
      </c>
      <c r="D12" s="4" t="s">
        <v>554</v>
      </c>
      <c r="E12" s="4">
        <v>1</v>
      </c>
      <c r="F12" s="4">
        <f>Bilanca!G19</f>
        <v>11</v>
      </c>
      <c r="G12" s="4">
        <f>IF(Bilanca!H19=0,"",Bilanca!H19)</f>
      </c>
      <c r="H12" s="26">
        <f t="shared" si="0"/>
        <v>280477.67</v>
      </c>
      <c r="I12" s="27">
        <f t="shared" si="1"/>
        <v>0</v>
      </c>
      <c r="J12" s="27">
        <f>Bilanca!I19</f>
        <v>849933</v>
      </c>
      <c r="K12" s="27">
        <f>Bilanca!J19</f>
        <v>849932</v>
      </c>
    </row>
    <row r="13" spans="1:11" ht="12.75">
      <c r="A13" s="4" t="s">
        <v>2884</v>
      </c>
      <c r="B13" s="25" t="str">
        <f>TRIM(RefStr!C35)</f>
        <v>ponikve@ponikve.hr</v>
      </c>
      <c r="D13" s="4" t="s">
        <v>554</v>
      </c>
      <c r="E13" s="4">
        <v>1</v>
      </c>
      <c r="F13" s="4">
        <f>Bilanca!G20</f>
        <v>12</v>
      </c>
      <c r="G13" s="4">
        <f>IF(Bilanca!H20=0,"",Bilanca!H20)</f>
      </c>
      <c r="H13" s="26">
        <f t="shared" si="0"/>
        <v>9116667.84</v>
      </c>
      <c r="I13" s="27">
        <f t="shared" si="1"/>
        <v>0</v>
      </c>
      <c r="J13" s="27">
        <f>Bilanca!I20</f>
        <v>31801964</v>
      </c>
      <c r="K13" s="27">
        <f>Bilanca!J20</f>
        <v>22085134</v>
      </c>
    </row>
    <row r="14" spans="1:11" ht="12.75">
      <c r="A14" s="4" t="s">
        <v>2885</v>
      </c>
      <c r="B14" s="25" t="str">
        <f>TRIM(RefStr!C37)</f>
        <v>w.w.w.ponikve.hr</v>
      </c>
      <c r="D14" s="4" t="s">
        <v>554</v>
      </c>
      <c r="E14" s="4">
        <v>1</v>
      </c>
      <c r="F14" s="4">
        <f>Bilanca!G21</f>
        <v>13</v>
      </c>
      <c r="G14" s="4">
        <f>IF(Bilanca!H21=0,"",Bilanca!H21)</f>
      </c>
      <c r="H14" s="26">
        <f t="shared" si="0"/>
        <v>2764467.42</v>
      </c>
      <c r="I14" s="27">
        <f t="shared" si="1"/>
        <v>0</v>
      </c>
      <c r="J14" s="27">
        <f>Bilanca!I21</f>
        <v>5643474</v>
      </c>
      <c r="K14" s="27">
        <f>Bilanca!J21</f>
        <v>7810830</v>
      </c>
    </row>
    <row r="15" spans="1:11" ht="12.75">
      <c r="A15" s="4" t="s">
        <v>2741</v>
      </c>
      <c r="B15" s="25" t="str">
        <f>TEXT(RefStr!J39,"00")</f>
        <v>08</v>
      </c>
      <c r="D15" s="4" t="s">
        <v>554</v>
      </c>
      <c r="E15" s="4">
        <v>1</v>
      </c>
      <c r="F15" s="4">
        <f>Bilanca!G22</f>
        <v>14</v>
      </c>
      <c r="G15" s="4">
        <f>IF(Bilanca!H22=0,"",Bilanca!H22)</f>
      </c>
      <c r="H15" s="26">
        <f t="shared" si="0"/>
        <v>9575580.700000001</v>
      </c>
      <c r="I15" s="27">
        <f t="shared" si="1"/>
        <v>0</v>
      </c>
      <c r="J15" s="27">
        <f>Bilanca!I22</f>
        <v>24754123</v>
      </c>
      <c r="K15" s="27">
        <f>Bilanca!J22</f>
        <v>21821441</v>
      </c>
    </row>
    <row r="16" spans="1:11" ht="12.75">
      <c r="A16" s="4" t="s">
        <v>2740</v>
      </c>
      <c r="B16" s="25" t="str">
        <f>TEXT(RefStr!C39,"000")</f>
        <v>215</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4318251.7700000005</v>
      </c>
      <c r="I18" s="27">
        <f t="shared" si="1"/>
        <v>0</v>
      </c>
      <c r="J18" s="27">
        <f>Bilanca!I25</f>
        <v>24850837</v>
      </c>
      <c r="K18" s="27">
        <f>Bilanca!J25</f>
        <v>275322</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2</v>
      </c>
      <c r="D21" s="4" t="s">
        <v>554</v>
      </c>
      <c r="E21" s="4">
        <v>1</v>
      </c>
      <c r="F21" s="4">
        <f>Bilanca!G28</f>
        <v>20</v>
      </c>
      <c r="G21" s="4">
        <f>IF(Bilanca!H28=0,"",Bilanca!H28)</f>
      </c>
      <c r="H21" s="26">
        <f t="shared" si="0"/>
        <v>2085723.5999999999</v>
      </c>
      <c r="I21" s="27">
        <f t="shared" si="1"/>
        <v>0</v>
      </c>
      <c r="J21" s="27">
        <f>Bilanca!I28</f>
        <v>971600</v>
      </c>
      <c r="K21" s="27">
        <f>Bilanca!J28</f>
        <v>4728509</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137</v>
      </c>
      <c r="D25" s="4" t="s">
        <v>554</v>
      </c>
      <c r="E25" s="4">
        <v>1</v>
      </c>
      <c r="F25" s="4">
        <f>Bilanca!G32</f>
        <v>24</v>
      </c>
      <c r="G25" s="4">
        <f>IF(Bilanca!H32=0,"",Bilanca!H32)</f>
      </c>
      <c r="H25" s="26">
        <f t="shared" si="0"/>
        <v>71520</v>
      </c>
      <c r="I25" s="27">
        <f t="shared" si="1"/>
        <v>0</v>
      </c>
      <c r="J25" s="27">
        <f>Bilanca!I32</f>
        <v>298000</v>
      </c>
      <c r="K25" s="27">
        <f>Bilanca!J32</f>
        <v>0</v>
      </c>
    </row>
    <row r="26" spans="1:11" ht="12.75">
      <c r="A26" s="4" t="s">
        <v>2894</v>
      </c>
      <c r="B26" s="25">
        <f>RefStr!F56</f>
        <v>133</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138</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134</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2295893.04</v>
      </c>
      <c r="I29" s="27">
        <f t="shared" si="1"/>
        <v>0</v>
      </c>
      <c r="J29" s="27">
        <f>Bilanca!I36</f>
        <v>0</v>
      </c>
      <c r="K29" s="27">
        <f>Bilanca!J36</f>
        <v>4099809</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579300</v>
      </c>
      <c r="I31" s="27">
        <f t="shared" si="1"/>
        <v>0</v>
      </c>
      <c r="J31" s="27">
        <f>Bilanca!I38</f>
        <v>673600</v>
      </c>
      <c r="K31" s="27">
        <f>Bilanca!J38</f>
        <v>628700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22172461.27</v>
      </c>
      <c r="I38" s="27">
        <f t="shared" si="1"/>
        <v>0</v>
      </c>
      <c r="J38" s="27">
        <f>Bilanca!I45</f>
        <v>17679281</v>
      </c>
      <c r="K38" s="27">
        <f>Bilanca!J45</f>
        <v>21123145</v>
      </c>
    </row>
    <row r="39" spans="1:11" ht="12.75">
      <c r="A39" s="4" t="s">
        <v>1611</v>
      </c>
      <c r="B39" s="25" t="str">
        <f>RefStr!C68</f>
        <v>Zvjezdana Ponoš</v>
      </c>
      <c r="D39" s="4" t="s">
        <v>554</v>
      </c>
      <c r="E39" s="4">
        <v>1</v>
      </c>
      <c r="F39" s="4">
        <f>Bilanca!G46</f>
        <v>38</v>
      </c>
      <c r="G39" s="4">
        <f>IF(Bilanca!H46=0,"",Bilanca!H46)</f>
      </c>
      <c r="H39" s="26">
        <f t="shared" si="0"/>
        <v>613442.74</v>
      </c>
      <c r="I39" s="27">
        <f t="shared" si="1"/>
        <v>0</v>
      </c>
      <c r="J39" s="27">
        <f>Bilanca!I46</f>
        <v>899935</v>
      </c>
      <c r="K39" s="27">
        <f>Bilanca!J46</f>
        <v>357194</v>
      </c>
    </row>
    <row r="40" spans="1:11" ht="12.75">
      <c r="A40" s="4" t="s">
        <v>1612</v>
      </c>
      <c r="B40" s="25" t="str">
        <f>TRIM(RefStr!C70)</f>
        <v>051654620</v>
      </c>
      <c r="D40" s="4" t="s">
        <v>554</v>
      </c>
      <c r="E40" s="4">
        <v>1</v>
      </c>
      <c r="F40" s="4">
        <f>Bilanca!G47</f>
        <v>39</v>
      </c>
      <c r="G40" s="4">
        <f>IF(Bilanca!H47=0,"",Bilanca!H47)</f>
      </c>
      <c r="H40" s="26">
        <f t="shared" si="0"/>
        <v>627302.52</v>
      </c>
      <c r="I40" s="27">
        <f t="shared" si="1"/>
        <v>0</v>
      </c>
      <c r="J40" s="27">
        <f>Bilanca!I47</f>
        <v>894380</v>
      </c>
      <c r="K40" s="27">
        <f>Bilanca!J47</f>
        <v>357044</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zvjezdana.ponos@ponikve.hr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Neven Hržić str.spec.ing.građ.</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2517.65</v>
      </c>
      <c r="I44" s="27">
        <f t="shared" si="1"/>
        <v>0</v>
      </c>
      <c r="J44" s="27">
        <f>Bilanca!I51</f>
        <v>5555</v>
      </c>
      <c r="K44" s="27">
        <f>Bilanca!J51</f>
        <v>150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9131238.280000001</v>
      </c>
      <c r="I47" s="27">
        <f t="shared" si="3"/>
        <v>0</v>
      </c>
      <c r="J47" s="27">
        <f>Bilanca!I54</f>
        <v>6161466</v>
      </c>
      <c r="K47" s="27">
        <f>Bilanca!J54</f>
        <v>6844526</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DA</v>
      </c>
      <c r="D49" s="4" t="s">
        <v>554</v>
      </c>
      <c r="E49" s="4">
        <v>1</v>
      </c>
      <c r="F49" s="4">
        <f>Bilanca!G56</f>
        <v>48</v>
      </c>
      <c r="G49" s="4">
        <f>IF(Bilanca!H56=0,"",Bilanca!H56)</f>
      </c>
      <c r="H49" s="26">
        <f t="shared" si="2"/>
        <v>648205.4400000001</v>
      </c>
      <c r="I49" s="27">
        <f t="shared" si="3"/>
        <v>0</v>
      </c>
      <c r="J49" s="27">
        <f>Bilanca!I56</f>
        <v>1350428</v>
      </c>
      <c r="K49" s="27">
        <f>Bilanca!J56</f>
        <v>0</v>
      </c>
    </row>
    <row r="50" spans="1:11" ht="12.75">
      <c r="A50" s="4" t="s">
        <v>2227</v>
      </c>
      <c r="B50" s="25" t="str">
        <f>IF(NT_D!Q1&lt;&gt;0,"DA","NE")</f>
        <v>NE</v>
      </c>
      <c r="D50" s="4" t="s">
        <v>554</v>
      </c>
      <c r="E50" s="4">
        <v>1</v>
      </c>
      <c r="F50" s="4">
        <f>Bilanca!G57</f>
        <v>49</v>
      </c>
      <c r="G50" s="4">
        <f>IF(Bilanca!H57=0,"",Bilanca!H57)</f>
      </c>
      <c r="H50" s="26">
        <f t="shared" si="2"/>
        <v>7921473.28</v>
      </c>
      <c r="I50" s="27">
        <f t="shared" si="3"/>
        <v>0</v>
      </c>
      <c r="J50" s="27">
        <f>Bilanca!I57</f>
        <v>4510920</v>
      </c>
      <c r="K50" s="27">
        <f>Bilanca!J57</f>
        <v>5827676</v>
      </c>
    </row>
    <row r="51" spans="1:11" ht="12.75">
      <c r="A51" s="4" t="s">
        <v>1035</v>
      </c>
      <c r="B51" s="25" t="str">
        <f>RefStr!I60</f>
        <v>DA</v>
      </c>
      <c r="D51" s="4" t="s">
        <v>554</v>
      </c>
      <c r="E51" s="4">
        <v>1</v>
      </c>
      <c r="F51" s="4">
        <f>Bilanca!G58</f>
        <v>50</v>
      </c>
      <c r="G51" s="4">
        <f>IF(Bilanca!H58=0,"",Bilanca!H58)</f>
      </c>
      <c r="H51" s="26">
        <f t="shared" si="2"/>
        <v>36055.5</v>
      </c>
      <c r="I51" s="27">
        <f t="shared" si="3"/>
        <v>0</v>
      </c>
      <c r="J51" s="27">
        <f>Bilanca!I58</f>
        <v>36667</v>
      </c>
      <c r="K51" s="27">
        <f>Bilanca!J58</f>
        <v>17722</v>
      </c>
    </row>
    <row r="52" spans="1:11" ht="12.75">
      <c r="A52" s="4" t="s">
        <v>1614</v>
      </c>
      <c r="B52" s="25" t="s">
        <v>1237</v>
      </c>
      <c r="D52" s="4" t="s">
        <v>554</v>
      </c>
      <c r="E52" s="4">
        <v>1</v>
      </c>
      <c r="F52" s="4">
        <f>Bilanca!G59</f>
        <v>51</v>
      </c>
      <c r="G52" s="4">
        <f>IF(Bilanca!H59=0,"",Bilanca!H59)</f>
      </c>
      <c r="H52" s="26">
        <f t="shared" si="2"/>
        <v>235261.97999999998</v>
      </c>
      <c r="I52" s="27">
        <f t="shared" si="3"/>
        <v>0</v>
      </c>
      <c r="J52" s="27">
        <f>Bilanca!I59</f>
        <v>150984</v>
      </c>
      <c r="K52" s="27">
        <f>Bilanca!J59</f>
        <v>155157</v>
      </c>
    </row>
    <row r="53" spans="1:11" ht="12.75">
      <c r="A53" s="4" t="s">
        <v>1301</v>
      </c>
      <c r="B53" s="25" t="str">
        <f>RefStr!I56</f>
        <v>DA</v>
      </c>
      <c r="D53" s="4" t="s">
        <v>554</v>
      </c>
      <c r="E53" s="4">
        <v>1</v>
      </c>
      <c r="F53" s="4">
        <f>Bilanca!G60</f>
        <v>52</v>
      </c>
      <c r="G53" s="4">
        <f>IF(Bilanca!H60=0,"",Bilanca!H60)</f>
      </c>
      <c r="H53" s="26">
        <f t="shared" si="2"/>
        <v>936212.6799999998</v>
      </c>
      <c r="I53" s="27">
        <f t="shared" si="3"/>
        <v>0</v>
      </c>
      <c r="J53" s="27">
        <f>Bilanca!I60</f>
        <v>112467</v>
      </c>
      <c r="K53" s="27">
        <f>Bilanca!J60</f>
        <v>843971</v>
      </c>
    </row>
    <row r="54" spans="1:11" ht="12.75">
      <c r="A54" s="4" t="s">
        <v>1302</v>
      </c>
      <c r="B54" s="25" t="str">
        <f>RefStr!I62</f>
        <v>DA</v>
      </c>
      <c r="D54" s="4" t="s">
        <v>554</v>
      </c>
      <c r="E54" s="4">
        <v>1</v>
      </c>
      <c r="F54" s="4">
        <f>Bilanca!G61</f>
        <v>53</v>
      </c>
      <c r="G54" s="4">
        <f>IF(Bilanca!H61=0,"",Bilanca!H61)</f>
      </c>
      <c r="H54" s="26">
        <f t="shared" si="2"/>
        <v>1362678.76</v>
      </c>
      <c r="I54" s="27">
        <f t="shared" si="3"/>
        <v>0</v>
      </c>
      <c r="J54" s="27">
        <f>Bilanca!I61</f>
        <v>290</v>
      </c>
      <c r="K54" s="27">
        <f>Bilanca!J61</f>
        <v>1285401</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3719071618.3</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1568366.1199999999</v>
      </c>
      <c r="I62" s="27">
        <f t="shared" si="3"/>
        <v>0</v>
      </c>
      <c r="J62" s="27">
        <f>Bilanca!I69</f>
        <v>290</v>
      </c>
      <c r="K62" s="27">
        <f>Bilanca!J69</f>
        <v>1285401</v>
      </c>
    </row>
    <row r="63" spans="1:11" ht="12.75">
      <c r="A63" s="4" t="s">
        <v>614</v>
      </c>
      <c r="B63" s="25" t="str">
        <f>IF(ISNUMBER(VALUE(RefStr!L21)),TEXT(INT(VALUE(RefStr!L21)),"00000000000"),"")</f>
        <v>89015118914</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22610471.939999998</v>
      </c>
      <c r="I64" s="27">
        <f t="shared" si="3"/>
        <v>0</v>
      </c>
      <c r="J64" s="27">
        <f>Bilanca!I71</f>
        <v>10617590</v>
      </c>
      <c r="K64" s="27">
        <f>Bilanca!J71</f>
        <v>12636024</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173392256.05</v>
      </c>
      <c r="I66" s="27">
        <f t="shared" si="3"/>
        <v>0</v>
      </c>
      <c r="J66" s="27">
        <f>Bilanca!I73</f>
        <v>107664931</v>
      </c>
      <c r="K66" s="27">
        <f>Bilanca!J73</f>
        <v>79546193</v>
      </c>
    </row>
    <row r="67" spans="1:11" ht="12.75">
      <c r="A67" s="4" t="s">
        <v>925</v>
      </c>
      <c r="B67" s="25" t="str">
        <f>TRIM(RefStr!L35)</f>
        <v>051654620</v>
      </c>
      <c r="D67" s="4" t="s">
        <v>554</v>
      </c>
      <c r="E67" s="4">
        <v>1</v>
      </c>
      <c r="F67" s="4">
        <f>Bilanca!G74</f>
        <v>66</v>
      </c>
      <c r="G67" s="4">
        <f>IF(Bilanca!H74=0,"",Bilanca!H74)</f>
      </c>
      <c r="H67" s="26">
        <f t="shared" si="2"/>
        <v>55147214.1</v>
      </c>
      <c r="I67" s="27">
        <f t="shared" si="3"/>
        <v>0</v>
      </c>
      <c r="J67" s="27">
        <f>Bilanca!I74</f>
        <v>24619809</v>
      </c>
      <c r="K67" s="27">
        <f>Bilanca!J74</f>
        <v>29468288</v>
      </c>
    </row>
    <row r="68" spans="1:11" ht="12.75">
      <c r="A68" s="4" t="s">
        <v>926</v>
      </c>
      <c r="B68" s="25">
        <f>RefStr!C44</f>
        <v>1</v>
      </c>
      <c r="D68" s="4" t="s">
        <v>554</v>
      </c>
      <c r="E68" s="4">
        <v>1</v>
      </c>
      <c r="F68" s="4">
        <f>Bilanca!G76</f>
        <v>67</v>
      </c>
      <c r="G68" s="4">
        <f>IF(Bilanca!H76=0,"",Bilanca!H76)</f>
      </c>
      <c r="H68" s="26">
        <f t="shared" si="2"/>
        <v>111532181.14000002</v>
      </c>
      <c r="I68" s="27">
        <f t="shared" si="3"/>
        <v>0</v>
      </c>
      <c r="J68" s="27">
        <f>Bilanca!I76</f>
        <v>71481190</v>
      </c>
      <c r="K68" s="27">
        <f>Bilanca!J76</f>
        <v>47492376</v>
      </c>
    </row>
    <row r="69" spans="1:11" ht="12.75">
      <c r="A69" s="4" t="s">
        <v>927</v>
      </c>
      <c r="B69" s="25">
        <f>TRIM(RefStr!M46)</f>
      </c>
      <c r="D69" s="4" t="s">
        <v>554</v>
      </c>
      <c r="E69" s="4">
        <v>1</v>
      </c>
      <c r="F69" s="4">
        <f>Bilanca!G77</f>
        <v>68</v>
      </c>
      <c r="G69" s="4">
        <f>IF(Bilanca!H77=0,"",Bilanca!H77)</f>
      </c>
      <c r="H69" s="26">
        <f t="shared" si="2"/>
        <v>75546096</v>
      </c>
      <c r="I69" s="27">
        <f t="shared" si="3"/>
        <v>0</v>
      </c>
      <c r="J69" s="27">
        <f>Bilanca!I77</f>
        <v>40908400</v>
      </c>
      <c r="K69" s="27">
        <f>Bilanca!J77</f>
        <v>35094400</v>
      </c>
    </row>
    <row r="70" spans="1:11" ht="12.75">
      <c r="A70" s="4" t="s">
        <v>928</v>
      </c>
      <c r="B70" s="25">
        <f>RefStr!C46</f>
        <v>0</v>
      </c>
      <c r="D70" s="4" t="s">
        <v>554</v>
      </c>
      <c r="E70" s="4">
        <v>1</v>
      </c>
      <c r="F70" s="4">
        <f>Bilanca!G78</f>
        <v>69</v>
      </c>
      <c r="G70" s="4">
        <f>IF(Bilanca!H78=0,"",Bilanca!H78)</f>
      </c>
      <c r="H70" s="26">
        <f t="shared" si="2"/>
        <v>29915243.25</v>
      </c>
      <c r="I70" s="27">
        <f t="shared" si="3"/>
        <v>0</v>
      </c>
      <c r="J70" s="27">
        <f>Bilanca!I78</f>
        <v>28678781</v>
      </c>
      <c r="K70" s="27">
        <f>Bilanca!J78</f>
        <v>7338322</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4712617.16</v>
      </c>
      <c r="I84" s="27">
        <f t="shared" si="3"/>
        <v>0</v>
      </c>
      <c r="J84" s="27">
        <f>Bilanca!I92</f>
        <v>1889834</v>
      </c>
      <c r="K84" s="27">
        <f>Bilanca!J92</f>
        <v>1894009</v>
      </c>
    </row>
    <row r="85" spans="4:11" ht="12.75">
      <c r="D85" s="4" t="s">
        <v>554</v>
      </c>
      <c r="E85" s="4">
        <v>1</v>
      </c>
      <c r="F85" s="4">
        <f>Bilanca!G93</f>
        <v>84</v>
      </c>
      <c r="G85" s="4">
        <f>IF(Bilanca!H93=0,"",Bilanca!H93)</f>
      </c>
      <c r="H85" s="26">
        <f t="shared" si="2"/>
        <v>4769395.68</v>
      </c>
      <c r="I85" s="27">
        <f t="shared" si="3"/>
        <v>0</v>
      </c>
      <c r="J85" s="27">
        <f>Bilanca!I93</f>
        <v>1889834</v>
      </c>
      <c r="K85" s="27">
        <f>Bilanca!J93</f>
        <v>1894009</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5448499.9</v>
      </c>
      <c r="I87" s="27">
        <f>ABS(ROUND(J87,0)-J87)+ABS(ROUND(K87,0)-K87)</f>
        <v>0</v>
      </c>
      <c r="J87" s="27">
        <f>Bilanca!I95</f>
        <v>4175</v>
      </c>
      <c r="K87" s="27">
        <f>Bilanca!J95</f>
        <v>3165645</v>
      </c>
    </row>
    <row r="88" spans="4:11" ht="12.75">
      <c r="D88" s="4" t="s">
        <v>554</v>
      </c>
      <c r="E88" s="4">
        <v>1</v>
      </c>
      <c r="F88" s="4">
        <f>Bilanca!G96</f>
        <v>87</v>
      </c>
      <c r="G88" s="4">
        <f>IF(Bilanca!H96=0,"",Bilanca!H96)</f>
      </c>
      <c r="H88" s="26">
        <f>J88/100*F88+2*K88/100*F88</f>
        <v>5511854.55</v>
      </c>
      <c r="I88" s="27">
        <f>ABS(ROUND(J88,0)-J88)+ABS(ROUND(K88,0)-K88)</f>
        <v>0</v>
      </c>
      <c r="J88" s="27">
        <f>Bilanca!I96</f>
        <v>4175</v>
      </c>
      <c r="K88" s="27">
        <f>Bilanca!J96</f>
        <v>3165645</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31495046.4</v>
      </c>
      <c r="I98" s="27">
        <f t="shared" si="5"/>
        <v>0</v>
      </c>
      <c r="J98" s="27">
        <f>Bilanca!I106</f>
        <v>11741784</v>
      </c>
      <c r="K98" s="27">
        <f>Bilanca!J106</f>
        <v>10363668</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33443193.599999998</v>
      </c>
      <c r="I104" s="27">
        <f t="shared" si="5"/>
        <v>0</v>
      </c>
      <c r="J104" s="27">
        <f>Bilanca!I112</f>
        <v>11741784</v>
      </c>
      <c r="K104" s="27">
        <f>Bilanca!J112</f>
        <v>10363668</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25600797.299999997</v>
      </c>
      <c r="I110" s="27">
        <f t="shared" si="5"/>
        <v>0</v>
      </c>
      <c r="J110" s="27">
        <f>Bilanca!I118</f>
        <v>7827562</v>
      </c>
      <c r="K110" s="27">
        <f>Bilanca!J118</f>
        <v>7829704</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279086.82</v>
      </c>
      <c r="I115" s="27">
        <f t="shared" si="5"/>
        <v>0</v>
      </c>
      <c r="J115" s="27">
        <f>Bilanca!I123</f>
        <v>167453</v>
      </c>
      <c r="K115" s="27">
        <f>Bilanca!J123</f>
        <v>38680</v>
      </c>
    </row>
    <row r="116" spans="4:11" ht="12.75">
      <c r="D116" s="4" t="s">
        <v>554</v>
      </c>
      <c r="E116" s="4">
        <v>1</v>
      </c>
      <c r="F116" s="4">
        <f>Bilanca!G124</f>
        <v>115</v>
      </c>
      <c r="G116" s="4">
        <f>IF(Bilanca!H124=0,"",Bilanca!H124)</f>
      </c>
      <c r="H116" s="26">
        <f t="shared" si="4"/>
        <v>10928417.8</v>
      </c>
      <c r="I116" s="27">
        <f t="shared" si="5"/>
        <v>0</v>
      </c>
      <c r="J116" s="27">
        <f>Bilanca!I124</f>
        <v>3323656</v>
      </c>
      <c r="K116" s="27">
        <f>Bilanca!J124</f>
        <v>3089658</v>
      </c>
    </row>
    <row r="117" spans="4:11" ht="12.75">
      <c r="D117" s="4" t="s">
        <v>554</v>
      </c>
      <c r="E117" s="4">
        <v>1</v>
      </c>
      <c r="F117" s="4">
        <f>Bilanca!G125</f>
        <v>116</v>
      </c>
      <c r="G117" s="4">
        <f>IF(Bilanca!H125=0,"",Bilanca!H125)</f>
      </c>
      <c r="H117" s="26">
        <f t="shared" si="4"/>
        <v>2363323.68</v>
      </c>
      <c r="I117" s="27">
        <f t="shared" si="5"/>
        <v>0</v>
      </c>
      <c r="J117" s="27">
        <f>Bilanca!I125</f>
        <v>1414194</v>
      </c>
      <c r="K117" s="27">
        <f>Bilanca!J125</f>
        <v>311577</v>
      </c>
    </row>
    <row r="118" spans="4:11" ht="12.75">
      <c r="D118" s="4" t="s">
        <v>554</v>
      </c>
      <c r="E118" s="4">
        <v>1</v>
      </c>
      <c r="F118" s="4">
        <f>Bilanca!G126</f>
        <v>117</v>
      </c>
      <c r="G118" s="4">
        <f>IF(Bilanca!H126=0,"",Bilanca!H126)</f>
      </c>
      <c r="H118" s="26">
        <f t="shared" si="4"/>
        <v>7399299.96</v>
      </c>
      <c r="I118" s="27">
        <f t="shared" si="5"/>
        <v>0</v>
      </c>
      <c r="J118" s="27">
        <f>Bilanca!I126</f>
        <v>1636960</v>
      </c>
      <c r="K118" s="27">
        <f>Bilanca!J126</f>
        <v>2343614</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3125657.5700000003</v>
      </c>
      <c r="I120" s="27">
        <f t="shared" si="5"/>
        <v>0</v>
      </c>
      <c r="J120" s="27">
        <f>Bilanca!I128</f>
        <v>854753</v>
      </c>
      <c r="K120" s="27">
        <f>Bilanca!J128</f>
        <v>885925</v>
      </c>
    </row>
    <row r="121" spans="4:11" ht="12.75">
      <c r="D121" s="4" t="s">
        <v>554</v>
      </c>
      <c r="E121" s="4">
        <v>1</v>
      </c>
      <c r="F121" s="4">
        <f>Bilanca!G129</f>
        <v>120</v>
      </c>
      <c r="G121" s="4">
        <f>IF(Bilanca!H129=0,"",Bilanca!H129)</f>
      </c>
      <c r="H121" s="26">
        <f t="shared" si="4"/>
        <v>3300734.4000000004</v>
      </c>
      <c r="I121" s="27">
        <f t="shared" si="5"/>
        <v>0</v>
      </c>
      <c r="J121" s="27">
        <f>Bilanca!I129</f>
        <v>430546</v>
      </c>
      <c r="K121" s="27">
        <f>Bilanca!J129</f>
        <v>1160033</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533.8199999999999</v>
      </c>
      <c r="I124" s="27">
        <f t="shared" si="5"/>
        <v>0</v>
      </c>
      <c r="J124" s="27">
        <f>Bilanca!I132</f>
        <v>0</v>
      </c>
      <c r="K124" s="27">
        <f>Bilanca!J132</f>
        <v>217</v>
      </c>
    </row>
    <row r="125" spans="4:11" ht="12.75">
      <c r="D125" s="4" t="s">
        <v>554</v>
      </c>
      <c r="E125" s="4">
        <v>1</v>
      </c>
      <c r="F125" s="4">
        <f>Bilanca!G133</f>
        <v>124</v>
      </c>
      <c r="G125" s="4">
        <f>IF(Bilanca!H133=0,"",Bilanca!H133)</f>
      </c>
      <c r="H125" s="26">
        <f t="shared" si="4"/>
        <v>54975753.400000006</v>
      </c>
      <c r="I125" s="27">
        <f t="shared" si="5"/>
        <v>0</v>
      </c>
      <c r="J125" s="27">
        <f>Bilanca!I133</f>
        <v>16614395</v>
      </c>
      <c r="K125" s="27">
        <f>Bilanca!J133</f>
        <v>13860445</v>
      </c>
    </row>
    <row r="126" spans="4:11" ht="12.75">
      <c r="D126" s="4" t="s">
        <v>554</v>
      </c>
      <c r="E126" s="4">
        <v>1</v>
      </c>
      <c r="F126" s="4">
        <f>Bilanca!G134</f>
        <v>125</v>
      </c>
      <c r="G126" s="4">
        <f>IF(Bilanca!H134=0,"",Bilanca!H134)</f>
      </c>
      <c r="H126" s="26">
        <f t="shared" si="4"/>
        <v>333446646.25</v>
      </c>
      <c r="I126" s="27">
        <f t="shared" si="5"/>
        <v>0</v>
      </c>
      <c r="J126" s="27">
        <f>Bilanca!I134</f>
        <v>107664931</v>
      </c>
      <c r="K126" s="27">
        <f>Bilanca!J134</f>
        <v>79546193</v>
      </c>
    </row>
    <row r="127" spans="4:11" ht="12.75">
      <c r="D127" s="4" t="s">
        <v>554</v>
      </c>
      <c r="E127" s="4">
        <v>1</v>
      </c>
      <c r="F127" s="4">
        <f>Bilanca!G135</f>
        <v>126</v>
      </c>
      <c r="G127" s="4">
        <f>IF(Bilanca!H135=0,"",Bilanca!H135)</f>
      </c>
      <c r="H127" s="26">
        <f t="shared" si="4"/>
        <v>105281045.10000001</v>
      </c>
      <c r="I127" s="27">
        <f t="shared" si="5"/>
        <v>0</v>
      </c>
      <c r="J127" s="27">
        <f>Bilanca!I135</f>
        <v>24619809</v>
      </c>
      <c r="K127" s="27">
        <f>Bilanca!J135</f>
        <v>29468288</v>
      </c>
    </row>
    <row r="128" spans="4:11" ht="12.75">
      <c r="D128" s="4" t="s">
        <v>794</v>
      </c>
      <c r="E128" s="4">
        <v>2</v>
      </c>
      <c r="F128" s="4">
        <f>RDG!G8</f>
        <v>127</v>
      </c>
      <c r="G128" s="4">
        <f>IF(RDG!H8=0,"",RDG!H8)</f>
      </c>
      <c r="H128" s="26">
        <f t="shared" si="4"/>
        <v>168419051.01999998</v>
      </c>
      <c r="I128" s="4">
        <f t="shared" si="5"/>
        <v>0</v>
      </c>
      <c r="J128" s="27">
        <f>RDG!I8</f>
        <v>38312500</v>
      </c>
      <c r="K128" s="27">
        <f>RDG!J8</f>
        <v>47150463</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153902548.29000002</v>
      </c>
      <c r="I130" s="4">
        <f aca="true" t="shared" si="7" ref="I130:I192">ABS(ROUND(J130,0)-J130)+ABS(ROUND(K130,0)-K130)</f>
        <v>0</v>
      </c>
      <c r="J130" s="27">
        <f>RDG!I10</f>
        <v>33710211</v>
      </c>
      <c r="K130" s="27">
        <f>RDG!J10</f>
        <v>42797045</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17568045</v>
      </c>
      <c r="I133" s="4">
        <f t="shared" si="7"/>
        <v>0</v>
      </c>
      <c r="J133" s="27">
        <f>RDG!I13</f>
        <v>4602289</v>
      </c>
      <c r="K133" s="27">
        <f>RDG!J13</f>
        <v>4353418</v>
      </c>
    </row>
    <row r="134" spans="4:11" ht="12.75">
      <c r="D134" s="4" t="s">
        <v>794</v>
      </c>
      <c r="E134" s="4">
        <v>2</v>
      </c>
      <c r="F134" s="4">
        <f>RDG!G14</f>
        <v>133</v>
      </c>
      <c r="G134" s="4">
        <f>IF(RDG!H14=0,"",RDG!H14)</f>
      </c>
      <c r="H134" s="26">
        <f t="shared" si="6"/>
        <v>165540945.08</v>
      </c>
      <c r="I134" s="4">
        <f t="shared" si="7"/>
        <v>0</v>
      </c>
      <c r="J134" s="27">
        <f>RDG!I14</f>
        <v>38070188</v>
      </c>
      <c r="K134" s="27">
        <f>RDG!J14</f>
        <v>43198344</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62102512.35</v>
      </c>
      <c r="I136" s="4">
        <f t="shared" si="7"/>
        <v>0</v>
      </c>
      <c r="J136" s="27">
        <f>RDG!I16</f>
        <v>12637075</v>
      </c>
      <c r="K136" s="27">
        <f>RDG!J16</f>
        <v>16682393</v>
      </c>
    </row>
    <row r="137" spans="4:11" ht="12.75">
      <c r="D137" s="4" t="s">
        <v>794</v>
      </c>
      <c r="E137" s="4">
        <v>2</v>
      </c>
      <c r="F137" s="4">
        <f>RDG!G17</f>
        <v>136</v>
      </c>
      <c r="G137" s="4">
        <f>IF(RDG!H17=0,"",RDG!H17)</f>
      </c>
      <c r="H137" s="26">
        <f t="shared" si="6"/>
        <v>19829610.56</v>
      </c>
      <c r="I137" s="4">
        <f t="shared" si="7"/>
        <v>0</v>
      </c>
      <c r="J137" s="27">
        <f>RDG!I17</f>
        <v>4577084</v>
      </c>
      <c r="K137" s="27">
        <f>RDG!J17</f>
        <v>5001756</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43361345.699999996</v>
      </c>
      <c r="I139" s="4">
        <f t="shared" si="7"/>
        <v>0</v>
      </c>
      <c r="J139" s="27">
        <f>RDG!I19</f>
        <v>8059991</v>
      </c>
      <c r="K139" s="27">
        <f>RDG!J19</f>
        <v>11680637</v>
      </c>
    </row>
    <row r="140" spans="4:11" ht="12.75">
      <c r="D140" s="4" t="s">
        <v>794</v>
      </c>
      <c r="E140" s="4">
        <v>2</v>
      </c>
      <c r="F140" s="4">
        <f>RDG!G20</f>
        <v>139</v>
      </c>
      <c r="G140" s="4">
        <f>IF(RDG!H20=0,"",RDG!H20)</f>
      </c>
      <c r="H140" s="26">
        <f t="shared" si="6"/>
        <v>65191401.71</v>
      </c>
      <c r="I140" s="4">
        <f t="shared" si="7"/>
        <v>0</v>
      </c>
      <c r="J140" s="27">
        <f>RDG!I20</f>
        <v>15065251</v>
      </c>
      <c r="K140" s="27">
        <f>RDG!J20</f>
        <v>15917519</v>
      </c>
    </row>
    <row r="141" spans="4:11" ht="12.75">
      <c r="D141" s="4" t="s">
        <v>794</v>
      </c>
      <c r="E141" s="4">
        <v>2</v>
      </c>
      <c r="F141" s="4">
        <f>RDG!G21</f>
        <v>140</v>
      </c>
      <c r="G141" s="4">
        <f>IF(RDG!H21=0,"",RDG!H21)</f>
      </c>
      <c r="H141" s="26">
        <f t="shared" si="6"/>
        <v>42682796.8</v>
      </c>
      <c r="I141" s="4">
        <f t="shared" si="7"/>
        <v>0</v>
      </c>
      <c r="J141" s="27">
        <f>RDG!I21</f>
        <v>9855512</v>
      </c>
      <c r="K141" s="27">
        <f>RDG!J21</f>
        <v>10316100</v>
      </c>
    </row>
    <row r="142" spans="4:11" ht="12.75">
      <c r="D142" s="4" t="s">
        <v>794</v>
      </c>
      <c r="E142" s="4">
        <v>2</v>
      </c>
      <c r="F142" s="4">
        <f>RDG!G22</f>
        <v>141</v>
      </c>
      <c r="G142" s="4">
        <f>IF(RDG!H22=0,"",RDG!H22)</f>
      </c>
      <c r="H142" s="26">
        <f t="shared" si="6"/>
        <v>14307779.010000002</v>
      </c>
      <c r="I142" s="4">
        <f t="shared" si="7"/>
        <v>0</v>
      </c>
      <c r="J142" s="27">
        <f>RDG!I22</f>
        <v>3226879</v>
      </c>
      <c r="K142" s="27">
        <f>RDG!J22</f>
        <v>3460241</v>
      </c>
    </row>
    <row r="143" spans="4:11" ht="12.75">
      <c r="D143" s="4" t="s">
        <v>794</v>
      </c>
      <c r="E143" s="4">
        <v>2</v>
      </c>
      <c r="F143" s="4">
        <f>RDG!G23</f>
        <v>142</v>
      </c>
      <c r="G143" s="4">
        <f>IF(RDG!H23=0,"",RDG!H23)</f>
      </c>
      <c r="H143" s="26">
        <f t="shared" si="6"/>
        <v>8896606.719999999</v>
      </c>
      <c r="I143" s="4">
        <f t="shared" si="7"/>
        <v>0</v>
      </c>
      <c r="J143" s="27">
        <f>RDG!I23</f>
        <v>1982860</v>
      </c>
      <c r="K143" s="27">
        <f>RDG!J23</f>
        <v>2141178</v>
      </c>
    </row>
    <row r="144" spans="4:11" ht="12.75">
      <c r="D144" s="4" t="s">
        <v>794</v>
      </c>
      <c r="E144" s="4">
        <v>2</v>
      </c>
      <c r="F144" s="4">
        <f>RDG!G24</f>
        <v>143</v>
      </c>
      <c r="G144" s="4">
        <f>IF(RDG!H24=0,"",RDG!H24)</f>
      </c>
      <c r="H144" s="26">
        <f t="shared" si="6"/>
        <v>31311433.009999998</v>
      </c>
      <c r="I144" s="4">
        <f t="shared" si="7"/>
        <v>0</v>
      </c>
      <c r="J144" s="27">
        <f>RDG!I24</f>
        <v>7742255</v>
      </c>
      <c r="K144" s="27">
        <f>RDG!J24</f>
        <v>7076926</v>
      </c>
    </row>
    <row r="145" spans="4:11" ht="12.75">
      <c r="D145" s="4" t="s">
        <v>794</v>
      </c>
      <c r="E145" s="4">
        <v>2</v>
      </c>
      <c r="F145" s="4">
        <f>RDG!G25</f>
        <v>144</v>
      </c>
      <c r="G145" s="4">
        <f>IF(RDG!H25=0,"",RDG!H25)</f>
      </c>
      <c r="H145" s="26">
        <f t="shared" si="6"/>
        <v>12378134.88</v>
      </c>
      <c r="I145" s="4">
        <f t="shared" si="7"/>
        <v>0</v>
      </c>
      <c r="J145" s="27">
        <f>RDG!I25</f>
        <v>2441079</v>
      </c>
      <c r="K145" s="27">
        <f>RDG!J25</f>
        <v>3077424</v>
      </c>
    </row>
    <row r="146" spans="4:11" ht="12.75">
      <c r="D146" s="4" t="s">
        <v>794</v>
      </c>
      <c r="E146" s="4">
        <v>2</v>
      </c>
      <c r="F146" s="4">
        <f>RDG!G26</f>
        <v>145</v>
      </c>
      <c r="G146" s="4">
        <f>IF(RDG!H26=0,"",RDG!H26)</f>
      </c>
      <c r="H146" s="26">
        <f t="shared" si="6"/>
        <v>683132.7</v>
      </c>
      <c r="I146" s="4">
        <f t="shared" si="7"/>
        <v>0</v>
      </c>
      <c r="J146" s="27">
        <f>RDG!I26</f>
        <v>141262</v>
      </c>
      <c r="K146" s="27">
        <f>RDG!J26</f>
        <v>164932</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692555.22</v>
      </c>
      <c r="I148" s="4">
        <f t="shared" si="7"/>
        <v>0</v>
      </c>
      <c r="J148" s="27">
        <f>RDG!I28</f>
        <v>141262</v>
      </c>
      <c r="K148" s="27">
        <f>RDG!J28</f>
        <v>164932</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932427.3</v>
      </c>
      <c r="I156" s="4">
        <f t="shared" si="7"/>
        <v>0</v>
      </c>
      <c r="J156" s="27">
        <f>RDG!I36</f>
        <v>43266</v>
      </c>
      <c r="K156" s="27">
        <f>RDG!J36</f>
        <v>279150</v>
      </c>
    </row>
    <row r="157" spans="4:11" ht="12.75">
      <c r="D157" s="4" t="s">
        <v>794</v>
      </c>
      <c r="E157" s="4">
        <v>2</v>
      </c>
      <c r="F157" s="4">
        <f>RDG!G37</f>
        <v>156</v>
      </c>
      <c r="G157" s="4">
        <f>IF(RDG!H37=0,"",RDG!H37)</f>
      </c>
      <c r="H157" s="26">
        <f t="shared" si="6"/>
        <v>1491707.88</v>
      </c>
      <c r="I157" s="4">
        <f t="shared" si="7"/>
        <v>0</v>
      </c>
      <c r="J157" s="27">
        <f>RDG!I37</f>
        <v>106775</v>
      </c>
      <c r="K157" s="27">
        <f>RDG!J37</f>
        <v>424724</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587161.86</v>
      </c>
      <c r="I164" s="4">
        <f t="shared" si="7"/>
        <v>0</v>
      </c>
      <c r="J164" s="27">
        <f>RDG!I44</f>
        <v>106774</v>
      </c>
      <c r="K164" s="27">
        <f>RDG!J44</f>
        <v>126724</v>
      </c>
    </row>
    <row r="165" spans="4:11" ht="12.75">
      <c r="D165" s="4" t="s">
        <v>794</v>
      </c>
      <c r="E165" s="4">
        <v>2</v>
      </c>
      <c r="F165" s="4">
        <f>RDG!G45</f>
        <v>164</v>
      </c>
      <c r="G165" s="4">
        <f>IF(RDG!H45=0,"",RDG!H45)</f>
      </c>
      <c r="H165" s="26">
        <f t="shared" si="6"/>
        <v>1.6400000000000001</v>
      </c>
      <c r="I165" s="4">
        <f t="shared" si="7"/>
        <v>0</v>
      </c>
      <c r="J165" s="27">
        <f>RDG!I45</f>
        <v>1</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989360</v>
      </c>
      <c r="I167" s="4">
        <f t="shared" si="7"/>
        <v>0</v>
      </c>
      <c r="J167" s="27">
        <f>RDG!I47</f>
        <v>0</v>
      </c>
      <c r="K167" s="27">
        <f>RDG!J47</f>
        <v>298000</v>
      </c>
    </row>
    <row r="168" spans="4:11" ht="12.75">
      <c r="D168" s="4" t="s">
        <v>794</v>
      </c>
      <c r="E168" s="4">
        <v>2</v>
      </c>
      <c r="F168" s="4">
        <f>RDG!G48</f>
        <v>167</v>
      </c>
      <c r="G168" s="4">
        <f>IF(RDG!H48=0,"",RDG!H48)</f>
      </c>
      <c r="H168" s="26">
        <f t="shared" si="6"/>
        <v>2299556.6</v>
      </c>
      <c r="I168" s="4">
        <f t="shared" si="7"/>
        <v>0</v>
      </c>
      <c r="J168" s="27">
        <f>RDG!I48</f>
        <v>344912</v>
      </c>
      <c r="K168" s="27">
        <f>RDG!J48</f>
        <v>516034</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1324099.4</v>
      </c>
      <c r="I171" s="4">
        <f t="shared" si="7"/>
        <v>0</v>
      </c>
      <c r="J171" s="27">
        <f>RDG!I51</f>
        <v>344120</v>
      </c>
      <c r="K171" s="27">
        <f>RDG!J51</f>
        <v>217381</v>
      </c>
    </row>
    <row r="172" spans="4:11" ht="12.75">
      <c r="D172" s="4" t="s">
        <v>794</v>
      </c>
      <c r="E172" s="4">
        <v>2</v>
      </c>
      <c r="F172" s="4">
        <f>RDG!G52</f>
        <v>171</v>
      </c>
      <c r="G172" s="4">
        <f>IF(RDG!H52=0,"",RDG!H52)</f>
      </c>
      <c r="H172" s="26">
        <f t="shared" si="6"/>
        <v>3587.58</v>
      </c>
      <c r="I172" s="4">
        <f t="shared" si="7"/>
        <v>0</v>
      </c>
      <c r="J172" s="27">
        <f>RDG!I52</f>
        <v>792</v>
      </c>
      <c r="K172" s="27">
        <f>RDG!J52</f>
        <v>653</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1037040</v>
      </c>
      <c r="I175" s="4">
        <f t="shared" si="7"/>
        <v>0</v>
      </c>
      <c r="J175" s="27">
        <f>RDG!I55</f>
        <v>0</v>
      </c>
      <c r="K175" s="27">
        <f>RDG!J55</f>
        <v>298000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239089671.71</v>
      </c>
      <c r="I180" s="4">
        <f t="shared" si="7"/>
        <v>0</v>
      </c>
      <c r="J180" s="27">
        <f>RDG!I60</f>
        <v>38419275</v>
      </c>
      <c r="K180" s="27">
        <f>RDG!J60</f>
        <v>47575187</v>
      </c>
    </row>
    <row r="181" spans="4:11" ht="12.75">
      <c r="D181" s="4" t="s">
        <v>794</v>
      </c>
      <c r="E181" s="4">
        <v>2</v>
      </c>
      <c r="F181" s="4">
        <f>RDG!G61</f>
        <v>180</v>
      </c>
      <c r="G181" s="4">
        <f>IF(RDG!H61=0,"",RDG!H61)</f>
      </c>
      <c r="H181" s="26">
        <f t="shared" si="6"/>
        <v>226518940.8</v>
      </c>
      <c r="I181" s="4">
        <f t="shared" si="7"/>
        <v>0</v>
      </c>
      <c r="J181" s="27">
        <f>RDG!I61</f>
        <v>38415100</v>
      </c>
      <c r="K181" s="27">
        <f>RDG!J61</f>
        <v>43714378</v>
      </c>
    </row>
    <row r="182" spans="4:11" ht="12.75">
      <c r="D182" s="4" t="s">
        <v>794</v>
      </c>
      <c r="E182" s="4">
        <v>2</v>
      </c>
      <c r="F182" s="4">
        <f>RDG!G62</f>
        <v>181</v>
      </c>
      <c r="G182" s="4">
        <f>IF(RDG!H62=0,"",RDG!H62)</f>
      </c>
      <c r="H182" s="26">
        <f t="shared" si="6"/>
        <v>13983685.329999998</v>
      </c>
      <c r="I182" s="4">
        <f t="shared" si="7"/>
        <v>0</v>
      </c>
      <c r="J182" s="27">
        <f>RDG!I62</f>
        <v>4175</v>
      </c>
      <c r="K182" s="27">
        <f>RDG!J62</f>
        <v>3860809</v>
      </c>
    </row>
    <row r="183" spans="4:11" ht="12.75">
      <c r="D183" s="4" t="s">
        <v>794</v>
      </c>
      <c r="E183" s="4">
        <v>2</v>
      </c>
      <c r="F183" s="4">
        <f>RDG!G63</f>
        <v>182</v>
      </c>
      <c r="G183" s="4">
        <f>IF(RDG!H63=0,"",RDG!H63)</f>
      </c>
      <c r="H183" s="26">
        <f t="shared" si="6"/>
        <v>14060943.259999998</v>
      </c>
      <c r="I183" s="4">
        <f t="shared" si="7"/>
        <v>0</v>
      </c>
      <c r="J183" s="27">
        <f>RDG!I63</f>
        <v>4175</v>
      </c>
      <c r="K183" s="27">
        <f>RDG!J63</f>
        <v>3860809</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2558203.52</v>
      </c>
      <c r="I185" s="4">
        <f t="shared" si="7"/>
        <v>0</v>
      </c>
      <c r="J185" s="27">
        <f>RDG!I65</f>
        <v>0</v>
      </c>
      <c r="K185" s="27">
        <f>RDG!J65</f>
        <v>695164</v>
      </c>
    </row>
    <row r="186" spans="4:11" ht="12.75">
      <c r="D186" s="4" t="s">
        <v>794</v>
      </c>
      <c r="E186" s="4">
        <v>2</v>
      </c>
      <c r="F186" s="4">
        <f>RDG!G66</f>
        <v>185</v>
      </c>
      <c r="G186" s="4">
        <f>IF(RDG!H66=0,"",RDG!H66)</f>
      </c>
      <c r="H186" s="26">
        <f t="shared" si="6"/>
        <v>11720610.25</v>
      </c>
      <c r="I186" s="4">
        <f t="shared" si="7"/>
        <v>0</v>
      </c>
      <c r="J186" s="27">
        <f>RDG!I66</f>
        <v>4175</v>
      </c>
      <c r="K186" s="27">
        <f>RDG!J66</f>
        <v>3165645</v>
      </c>
    </row>
    <row r="187" spans="4:11" ht="12.75">
      <c r="D187" s="4" t="s">
        <v>794</v>
      </c>
      <c r="E187" s="4">
        <v>2</v>
      </c>
      <c r="F187" s="4">
        <f>RDG!G67</f>
        <v>186</v>
      </c>
      <c r="G187" s="4">
        <f>IF(RDG!H67=0,"",RDG!H67)</f>
      </c>
      <c r="H187" s="26">
        <f t="shared" si="6"/>
        <v>11783964.9</v>
      </c>
      <c r="I187" s="4">
        <f t="shared" si="7"/>
        <v>0</v>
      </c>
      <c r="J187" s="27">
        <f>RDG!I67</f>
        <v>4175</v>
      </c>
      <c r="K187" s="27">
        <f>RDG!J67</f>
        <v>3165645</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77257.93</v>
      </c>
      <c r="I299" s="4">
        <f t="shared" si="17"/>
        <v>0</v>
      </c>
      <c r="J299" s="27">
        <f>NT_I!I9</f>
        <v>4175</v>
      </c>
      <c r="K299" s="27">
        <f>NT_I!J9</f>
        <v>3860809</v>
      </c>
    </row>
    <row r="300" spans="4:11" ht="12.75">
      <c r="D300" s="4" t="s">
        <v>556</v>
      </c>
      <c r="E300" s="4">
        <v>4</v>
      </c>
      <c r="F300" s="4">
        <f>NT_I!G10</f>
        <v>2</v>
      </c>
      <c r="G300" s="4">
        <f>IF(NT_I!H10&lt;&gt;"",NT_I!H10,"")</f>
      </c>
      <c r="H300" s="26">
        <f t="shared" si="16"/>
        <v>431919.77999999997</v>
      </c>
      <c r="I300" s="4">
        <f t="shared" si="17"/>
        <v>0</v>
      </c>
      <c r="J300" s="27">
        <f>NT_I!I10</f>
        <v>8121653</v>
      </c>
      <c r="K300" s="27">
        <f>NT_I!J10</f>
        <v>6737168</v>
      </c>
    </row>
    <row r="301" spans="4:11" ht="12.75">
      <c r="D301" s="4" t="s">
        <v>556</v>
      </c>
      <c r="E301" s="4">
        <v>4</v>
      </c>
      <c r="F301" s="4">
        <f>NT_I!G11</f>
        <v>3</v>
      </c>
      <c r="G301" s="4">
        <f>IF(NT_I!H11&lt;&gt;"",NT_I!H11,"")</f>
      </c>
      <c r="H301" s="26">
        <f t="shared" si="16"/>
        <v>656883.21</v>
      </c>
      <c r="I301" s="4">
        <f t="shared" si="17"/>
        <v>0</v>
      </c>
      <c r="J301" s="27">
        <f>NT_I!I11</f>
        <v>7742255</v>
      </c>
      <c r="K301" s="27">
        <f>NT_I!J11</f>
        <v>7076926</v>
      </c>
    </row>
    <row r="302" spans="4:11" ht="12.75">
      <c r="D302" s="4" t="s">
        <v>556</v>
      </c>
      <c r="E302" s="4">
        <v>4</v>
      </c>
      <c r="F302" s="4">
        <f>NT_I!G12</f>
        <v>4</v>
      </c>
      <c r="G302" s="4">
        <f>IF(NT_I!H12&lt;&gt;"",NT_I!H12,"")</f>
      </c>
      <c r="H302" s="26">
        <f aca="true" t="shared" si="18" ref="H302:H340">J302/100*F302+2*K302/100*F302</f>
        <v>18845.04</v>
      </c>
      <c r="I302" s="4">
        <f aca="true" t="shared" si="19" ref="I302:I340">ABS(ROUND(J302,0)-J302)+ABS(ROUND(K302,0)-K302)</f>
        <v>0</v>
      </c>
      <c r="J302" s="27">
        <f>NT_I!I12</f>
        <v>141262</v>
      </c>
      <c r="K302" s="27">
        <f>NT_I!J12</f>
        <v>164932</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-93133.32</v>
      </c>
      <c r="I304" s="4">
        <f t="shared" si="19"/>
        <v>0</v>
      </c>
      <c r="J304" s="27">
        <f>NT_I!I14</f>
        <v>-106774</v>
      </c>
      <c r="K304" s="27">
        <f>NT_I!J14</f>
        <v>-722724</v>
      </c>
    </row>
    <row r="305" spans="4:11" ht="12.75">
      <c r="D305" s="4" t="s">
        <v>556</v>
      </c>
      <c r="E305" s="4">
        <v>4</v>
      </c>
      <c r="F305" s="4">
        <f>NT_I!G15</f>
        <v>7</v>
      </c>
      <c r="G305" s="4">
        <f>IF(NT_I!H15&lt;&gt;"",NT_I!H15,"")</f>
      </c>
      <c r="H305" s="26">
        <f t="shared" si="18"/>
        <v>54521.67</v>
      </c>
      <c r="I305" s="4">
        <f t="shared" si="19"/>
        <v>0</v>
      </c>
      <c r="J305" s="27">
        <f>NT_I!I15</f>
        <v>344119</v>
      </c>
      <c r="K305" s="27">
        <f>NT_I!J15</f>
        <v>217381</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188.73000000000002</v>
      </c>
      <c r="I307" s="4">
        <f t="shared" si="19"/>
        <v>0</v>
      </c>
      <c r="J307" s="27">
        <f>NT_I!I17</f>
        <v>791</v>
      </c>
      <c r="K307" s="27">
        <f>NT_I!J17</f>
        <v>653</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3225396.02</v>
      </c>
      <c r="I309" s="4">
        <f t="shared" si="19"/>
        <v>0</v>
      </c>
      <c r="J309" s="27">
        <f>NT_I!I19</f>
        <v>8125828</v>
      </c>
      <c r="K309" s="27">
        <f>NT_I!J19</f>
        <v>10597977</v>
      </c>
    </row>
    <row r="310" spans="4:11" ht="12.75">
      <c r="D310" s="4" t="s">
        <v>556</v>
      </c>
      <c r="E310" s="4">
        <v>4</v>
      </c>
      <c r="F310" s="4">
        <f>NT_I!G20</f>
        <v>12</v>
      </c>
      <c r="G310" s="4">
        <f>IF(NT_I!H20&lt;&gt;"",NT_I!H20,"")</f>
      </c>
      <c r="H310" s="26">
        <f t="shared" si="18"/>
        <v>-1817264.04</v>
      </c>
      <c r="I310" s="4">
        <f t="shared" si="19"/>
        <v>0</v>
      </c>
      <c r="J310" s="27">
        <f>NT_I!I20</f>
        <v>-4708903</v>
      </c>
      <c r="K310" s="27">
        <f>NT_I!J20</f>
        <v>-5217482</v>
      </c>
    </row>
    <row r="311" spans="4:11" ht="12.75">
      <c r="D311" s="4" t="s">
        <v>556</v>
      </c>
      <c r="E311" s="4">
        <v>4</v>
      </c>
      <c r="F311" s="4">
        <f>NT_I!G21</f>
        <v>13</v>
      </c>
      <c r="G311" s="4">
        <f>IF(NT_I!H21&lt;&gt;"",NT_I!H21,"")</f>
      </c>
      <c r="H311" s="26">
        <f t="shared" si="18"/>
        <v>-260701.47999999998</v>
      </c>
      <c r="I311" s="4">
        <f t="shared" si="19"/>
        <v>0</v>
      </c>
      <c r="J311" s="27">
        <f>NT_I!I21</f>
        <v>-2009680</v>
      </c>
      <c r="K311" s="27">
        <f>NT_I!J21</f>
        <v>2142</v>
      </c>
    </row>
    <row r="312" spans="4:11" ht="12.75">
      <c r="D312" s="4" t="s">
        <v>556</v>
      </c>
      <c r="E312" s="4">
        <v>4</v>
      </c>
      <c r="F312" s="4">
        <f>NT_I!G22</f>
        <v>14</v>
      </c>
      <c r="G312" s="4">
        <f>IF(NT_I!H22&lt;&gt;"",NT_I!H22,"")</f>
      </c>
      <c r="H312" s="26">
        <f t="shared" si="18"/>
        <v>-1935143.0000000002</v>
      </c>
      <c r="I312" s="4">
        <f t="shared" si="19"/>
        <v>0</v>
      </c>
      <c r="J312" s="27">
        <f>NT_I!I22</f>
        <v>-1686490</v>
      </c>
      <c r="K312" s="27">
        <f>NT_I!J22</f>
        <v>-6067980</v>
      </c>
    </row>
    <row r="313" spans="4:11" ht="12.75">
      <c r="D313" s="4" t="s">
        <v>556</v>
      </c>
      <c r="E313" s="4">
        <v>4</v>
      </c>
      <c r="F313" s="4">
        <f>NT_I!G23</f>
        <v>15</v>
      </c>
      <c r="G313" s="4">
        <f>IF(NT_I!H23&lt;&gt;"",NT_I!H23,"")</f>
      </c>
      <c r="H313" s="26">
        <f t="shared" si="18"/>
        <v>123623.69999999998</v>
      </c>
      <c r="I313" s="4">
        <f t="shared" si="19"/>
        <v>0</v>
      </c>
      <c r="J313" s="27">
        <f>NT_I!I23</f>
        <v>-261324</v>
      </c>
      <c r="K313" s="27">
        <f>NT_I!J23</f>
        <v>542741</v>
      </c>
    </row>
    <row r="314" spans="4:11" ht="12.75">
      <c r="D314" s="4" t="s">
        <v>556</v>
      </c>
      <c r="E314" s="4">
        <v>4</v>
      </c>
      <c r="F314" s="4">
        <f>NT_I!G24</f>
        <v>16</v>
      </c>
      <c r="G314" s="4">
        <f>IF(NT_I!H24&lt;&gt;"",NT_I!H24,"")</f>
      </c>
      <c r="H314" s="26">
        <f t="shared" si="18"/>
        <v>-22428.64</v>
      </c>
      <c r="I314" s="4">
        <f t="shared" si="19"/>
        <v>0</v>
      </c>
      <c r="J314" s="27">
        <f>NT_I!I24</f>
        <v>-751409</v>
      </c>
      <c r="K314" s="27">
        <f>NT_I!J24</f>
        <v>305615</v>
      </c>
    </row>
    <row r="315" spans="4:11" ht="12.75">
      <c r="D315" s="4" t="s">
        <v>556</v>
      </c>
      <c r="E315" s="4">
        <v>4</v>
      </c>
      <c r="F315" s="4">
        <f>NT_I!G25</f>
        <v>17</v>
      </c>
      <c r="G315" s="4">
        <f>IF(NT_I!H25&lt;&gt;"",NT_I!H25,"")</f>
      </c>
      <c r="H315" s="26">
        <f t="shared" si="18"/>
        <v>2410245.55</v>
      </c>
      <c r="I315" s="4">
        <f t="shared" si="19"/>
        <v>0</v>
      </c>
      <c r="J315" s="27">
        <f>NT_I!I25</f>
        <v>3416925</v>
      </c>
      <c r="K315" s="27">
        <f>NT_I!J25</f>
        <v>5380495</v>
      </c>
    </row>
    <row r="316" spans="4:11" ht="12.75">
      <c r="D316" s="4" t="s">
        <v>556</v>
      </c>
      <c r="E316" s="4">
        <v>4</v>
      </c>
      <c r="F316" s="4">
        <f>NT_I!G26</f>
        <v>18</v>
      </c>
      <c r="G316" s="4">
        <f>IF(NT_I!H26&lt;&gt;"",NT_I!H26,"")</f>
      </c>
      <c r="H316" s="26">
        <f t="shared" si="18"/>
        <v>-140198.58000000002</v>
      </c>
      <c r="I316" s="4">
        <f t="shared" si="19"/>
        <v>0</v>
      </c>
      <c r="J316" s="27">
        <f>NT_I!I26</f>
        <v>-344119</v>
      </c>
      <c r="K316" s="27">
        <f>NT_I!J26</f>
        <v>-217381</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2679806.8000000003</v>
      </c>
      <c r="I318" s="4">
        <f t="shared" si="19"/>
        <v>0</v>
      </c>
      <c r="J318" s="27">
        <f>NT_I!I28</f>
        <v>3072806</v>
      </c>
      <c r="K318" s="27">
        <f>NT_I!J28</f>
        <v>5163114</v>
      </c>
    </row>
    <row r="319" spans="4:11" ht="12.75">
      <c r="D319" s="4" t="s">
        <v>556</v>
      </c>
      <c r="E319" s="4">
        <v>4</v>
      </c>
      <c r="F319" s="4">
        <f>NT_I!G30</f>
        <v>21</v>
      </c>
      <c r="G319" s="4">
        <f>IF(NT_I!H30&lt;&gt;"",NT_I!H30,"")</f>
      </c>
      <c r="H319" s="26">
        <f t="shared" si="18"/>
        <v>1394671.1099999999</v>
      </c>
      <c r="I319" s="4">
        <f t="shared" si="19"/>
        <v>0</v>
      </c>
      <c r="J319" s="27">
        <f>NT_I!I30</f>
        <v>4244649</v>
      </c>
      <c r="K319" s="27">
        <f>NT_I!J30</f>
        <v>1198321</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1793148.5699999998</v>
      </c>
      <c r="I325" s="4">
        <f t="shared" si="19"/>
        <v>0</v>
      </c>
      <c r="J325" s="27">
        <f>NT_I!I36</f>
        <v>4244649</v>
      </c>
      <c r="K325" s="27">
        <f>NT_I!J36</f>
        <v>1198321</v>
      </c>
    </row>
    <row r="326" spans="4:11" ht="12.75">
      <c r="D326" s="4" t="s">
        <v>556</v>
      </c>
      <c r="E326" s="4">
        <v>4</v>
      </c>
      <c r="F326" s="4">
        <f>NT_I!G37</f>
        <v>28</v>
      </c>
      <c r="G326" s="4">
        <f>IF(NT_I!H37&lt;&gt;"",NT_I!H37,"")</f>
      </c>
      <c r="H326" s="26">
        <f t="shared" si="18"/>
        <v>-3923652.88</v>
      </c>
      <c r="I326" s="4">
        <f t="shared" si="19"/>
        <v>0</v>
      </c>
      <c r="J326" s="27">
        <f>NT_I!I37</f>
        <v>-5334814</v>
      </c>
      <c r="K326" s="27">
        <f>NT_I!J37</f>
        <v>-4339116</v>
      </c>
    </row>
    <row r="327" spans="4:11" ht="12.75">
      <c r="D327" s="4" t="s">
        <v>556</v>
      </c>
      <c r="E327" s="4">
        <v>4</v>
      </c>
      <c r="F327" s="4">
        <f>NT_I!G38</f>
        <v>29</v>
      </c>
      <c r="G327" s="4">
        <f>IF(NT_I!H38&lt;&gt;"",NT_I!H38,"")</f>
      </c>
      <c r="H327" s="26">
        <f t="shared" si="18"/>
        <v>-58000</v>
      </c>
      <c r="I327" s="4">
        <f t="shared" si="19"/>
        <v>0</v>
      </c>
      <c r="J327" s="27">
        <f>NT_I!I38</f>
        <v>-200000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-4690305.18</v>
      </c>
      <c r="I331" s="4">
        <f t="shared" si="19"/>
        <v>0</v>
      </c>
      <c r="J331" s="27">
        <f>NT_I!I42</f>
        <v>-5534814</v>
      </c>
      <c r="K331" s="27">
        <f>NT_I!J42</f>
        <v>-4339116</v>
      </c>
    </row>
    <row r="332" spans="4:11" ht="12.75">
      <c r="D332" s="4" t="s">
        <v>556</v>
      </c>
      <c r="E332" s="4">
        <v>4</v>
      </c>
      <c r="F332" s="4">
        <f>NT_I!G43</f>
        <v>34</v>
      </c>
      <c r="G332" s="4">
        <f>IF(NT_I!H43&lt;&gt;"",NT_I!H43,"")</f>
      </c>
      <c r="H332" s="26">
        <f t="shared" si="18"/>
        <v>-2574396.7</v>
      </c>
      <c r="I332" s="4">
        <f t="shared" si="19"/>
        <v>0</v>
      </c>
      <c r="J332" s="27">
        <f>NT_I!I43</f>
        <v>-1290165</v>
      </c>
      <c r="K332" s="27">
        <f>NT_I!J43</f>
        <v>-3140795</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2160394.48</v>
      </c>
      <c r="I335" s="4">
        <f t="shared" si="19"/>
        <v>0</v>
      </c>
      <c r="J335" s="27">
        <f>NT_I!I47</f>
        <v>838904</v>
      </c>
      <c r="K335" s="27">
        <f>NT_I!J47</f>
        <v>2500000</v>
      </c>
    </row>
    <row r="336" spans="4:11" ht="12.75">
      <c r="D336" s="4" t="s">
        <v>556</v>
      </c>
      <c r="E336" s="4">
        <v>4</v>
      </c>
      <c r="F336" s="4">
        <f>NT_I!G48</f>
        <v>38</v>
      </c>
      <c r="G336" s="4">
        <f>IF(NT_I!H48&lt;&gt;"",NT_I!H48,"")</f>
      </c>
      <c r="H336" s="26">
        <f t="shared" si="18"/>
        <v>671778.06</v>
      </c>
      <c r="I336" s="4">
        <f t="shared" si="19"/>
        <v>0</v>
      </c>
      <c r="J336" s="27">
        <f>NT_I!I48</f>
        <v>207453</v>
      </c>
      <c r="K336" s="27">
        <f>NT_I!J48</f>
        <v>780192</v>
      </c>
    </row>
    <row r="337" spans="4:11" ht="12.75">
      <c r="D337" s="4" t="s">
        <v>556</v>
      </c>
      <c r="E337" s="4">
        <v>4</v>
      </c>
      <c r="F337" s="4">
        <f>NT_I!G49</f>
        <v>39</v>
      </c>
      <c r="G337" s="4">
        <f>IF(NT_I!H49&lt;&gt;"",NT_I!H49,"")</f>
      </c>
      <c r="H337" s="26">
        <f t="shared" si="18"/>
        <v>2966628.9899999998</v>
      </c>
      <c r="I337" s="4">
        <f t="shared" si="19"/>
        <v>0</v>
      </c>
      <c r="J337" s="27">
        <f>NT_I!I49</f>
        <v>1046357</v>
      </c>
      <c r="K337" s="27">
        <f>NT_I!J49</f>
        <v>3280192</v>
      </c>
    </row>
    <row r="338" spans="4:11" ht="12.75">
      <c r="D338" s="4" t="s">
        <v>556</v>
      </c>
      <c r="E338" s="4">
        <v>4</v>
      </c>
      <c r="F338" s="4">
        <f>NT_I!G50</f>
        <v>40</v>
      </c>
      <c r="G338" s="4">
        <f>IF(NT_I!H50&lt;&gt;"",NT_I!H50,"")</f>
      </c>
      <c r="H338" s="26">
        <f t="shared" si="18"/>
        <v>-756000</v>
      </c>
      <c r="I338" s="4">
        <f t="shared" si="19"/>
        <v>0</v>
      </c>
      <c r="J338" s="27">
        <f>NT_I!I50</f>
        <v>-630000</v>
      </c>
      <c r="K338" s="27">
        <f>NT_I!J50</f>
        <v>-630000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-2737154.2800000003</v>
      </c>
      <c r="I340" s="4">
        <f t="shared" si="19"/>
        <v>0</v>
      </c>
      <c r="J340" s="27">
        <f>NT_I!I52</f>
        <v>-1821004</v>
      </c>
      <c r="K340" s="27">
        <f>NT_I!J52</f>
        <v>-2348015</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-294414.56</v>
      </c>
      <c r="I342" s="4">
        <f t="shared" si="21"/>
        <v>0</v>
      </c>
      <c r="J342" s="27">
        <f>NT_I!I54</f>
        <v>-57000</v>
      </c>
      <c r="K342" s="27">
        <f>NT_I!J54</f>
        <v>-306062</v>
      </c>
    </row>
    <row r="343" spans="4:11" ht="12.75">
      <c r="D343" s="4" t="s">
        <v>556</v>
      </c>
      <c r="E343" s="4">
        <v>4</v>
      </c>
      <c r="F343" s="4">
        <f>NT_I!G55</f>
        <v>45</v>
      </c>
      <c r="G343" s="4">
        <f>IF(NT_I!H55&lt;&gt;"",NT_I!H55,"")</f>
      </c>
      <c r="H343" s="26">
        <f t="shared" si="20"/>
        <v>-4084271.0999999996</v>
      </c>
      <c r="I343" s="4">
        <f t="shared" si="21"/>
        <v>0</v>
      </c>
      <c r="J343" s="27">
        <f>NT_I!I55</f>
        <v>-2508004</v>
      </c>
      <c r="K343" s="27">
        <f>NT_I!J55</f>
        <v>-3284077</v>
      </c>
    </row>
    <row r="344" spans="4:11" ht="12.75">
      <c r="D344" s="4" t="s">
        <v>556</v>
      </c>
      <c r="E344" s="4">
        <v>4</v>
      </c>
      <c r="F344" s="4">
        <f>NT_I!G56</f>
        <v>46</v>
      </c>
      <c r="G344" s="4">
        <f>IF(NT_I!H56&lt;&gt;"",NT_I!H56,"")</f>
      </c>
      <c r="H344" s="26">
        <f t="shared" si="20"/>
        <v>-675931.82</v>
      </c>
      <c r="I344" s="4">
        <f t="shared" si="21"/>
        <v>0</v>
      </c>
      <c r="J344" s="27">
        <f>NT_I!I56</f>
        <v>-1461647</v>
      </c>
      <c r="K344" s="27">
        <f>NT_I!J56</f>
        <v>-3885</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2091773.7600000002</v>
      </c>
      <c r="I346" s="4">
        <f t="shared" si="21"/>
        <v>0</v>
      </c>
      <c r="J346" s="27">
        <f>NT_I!I58</f>
        <v>320994</v>
      </c>
      <c r="K346" s="27">
        <f>NT_I!J58</f>
        <v>2018434</v>
      </c>
    </row>
    <row r="347" spans="4:11" ht="12.75">
      <c r="D347" s="4" t="s">
        <v>556</v>
      </c>
      <c r="E347" s="4">
        <v>4</v>
      </c>
      <c r="F347" s="4">
        <f>NT_I!G59</f>
        <v>49</v>
      </c>
      <c r="G347" s="4">
        <f>IF(NT_I!H59&lt;&gt;"",NT_I!H59,"")</f>
      </c>
      <c r="H347" s="26">
        <f t="shared" si="20"/>
        <v>15450570.239999998</v>
      </c>
      <c r="I347" s="4">
        <f t="shared" si="21"/>
        <v>0</v>
      </c>
      <c r="J347" s="27">
        <f>NT_I!I59</f>
        <v>10296596</v>
      </c>
      <c r="K347" s="27">
        <f>NT_I!J59</f>
        <v>10617590</v>
      </c>
    </row>
    <row r="348" spans="4:11" ht="12.75">
      <c r="D348" s="4" t="s">
        <v>556</v>
      </c>
      <c r="E348" s="4">
        <v>4</v>
      </c>
      <c r="F348" s="4">
        <f>NT_I!G60</f>
        <v>50</v>
      </c>
      <c r="G348" s="4">
        <f>IF(NT_I!H60&lt;&gt;"",NT_I!H60,"")</f>
      </c>
      <c r="H348" s="26">
        <f t="shared" si="20"/>
        <v>17944819</v>
      </c>
      <c r="I348" s="4">
        <f t="shared" si="21"/>
        <v>0</v>
      </c>
      <c r="J348" s="27">
        <f>NT_I!I60</f>
        <v>10617590</v>
      </c>
      <c r="K348" s="27">
        <f>NT_I!J60</f>
        <v>12636024</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24746574.31</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40908400</v>
      </c>
      <c r="K393" s="27">
        <f>PK!J10</f>
        <v>26457469</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2207319</v>
      </c>
      <c r="X393" s="27">
        <f>PK!W10</f>
        <v>-317485</v>
      </c>
      <c r="Y393" s="27">
        <f>PK!X10</f>
        <v>69255703</v>
      </c>
      <c r="Z393" s="27">
        <f>PK!Y10</f>
        <v>0</v>
      </c>
      <c r="AA393" s="27">
        <f>PK!Z10</f>
        <v>69255703</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27561274.45</v>
      </c>
      <c r="I396" s="27">
        <f t="shared" si="25"/>
        <v>0</v>
      </c>
      <c r="J396" s="27">
        <f>PK!I13</f>
        <v>40908400</v>
      </c>
      <c r="K396" s="27">
        <f>PK!J13</f>
        <v>26457469</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2207319</v>
      </c>
      <c r="X396" s="27">
        <f>PK!W13</f>
        <v>-317485</v>
      </c>
      <c r="Y396" s="27">
        <f>PK!X13</f>
        <v>69255703</v>
      </c>
      <c r="Z396" s="27">
        <f>PK!Y13</f>
        <v>0</v>
      </c>
      <c r="AA396" s="27">
        <f>PK!Z13</f>
        <v>69255703</v>
      </c>
    </row>
    <row r="397" spans="4:27" ht="12.75">
      <c r="D397" s="4" t="s">
        <v>795</v>
      </c>
      <c r="E397" s="4">
        <v>6</v>
      </c>
      <c r="F397" s="4">
        <f>PK!G14</f>
        <v>5</v>
      </c>
      <c r="G397" s="4">
        <f>IF(PK!H14&lt;&gt;"",PK!H14,"")</f>
      </c>
      <c r="H397" s="26">
        <f t="shared" si="24"/>
        <v>2045.75</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4175</v>
      </c>
      <c r="Y397" s="27">
        <f>PK!X14</f>
        <v>4175</v>
      </c>
      <c r="Z397" s="27">
        <f>PK!Y14</f>
        <v>0</v>
      </c>
      <c r="AA397" s="27">
        <f>PK!Z14</f>
        <v>4175</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1599344.64</v>
      </c>
      <c r="I411" s="27">
        <f t="shared" si="25"/>
        <v>0</v>
      </c>
      <c r="J411" s="27">
        <f>PK!I28</f>
        <v>0</v>
      </c>
      <c r="K411" s="27">
        <f>PK!J28</f>
        <v>2221312</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2221312</v>
      </c>
      <c r="Z411" s="27">
        <f>PK!Y28</f>
        <v>0</v>
      </c>
      <c r="AA411" s="27">
        <f>PK!Z28</f>
        <v>2221312</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3174.8499999999985</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-317485</v>
      </c>
      <c r="X414" s="27">
        <f>PK!W31</f>
        <v>317485</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48152638.489999995</v>
      </c>
      <c r="I416" s="27">
        <f t="shared" si="25"/>
        <v>0</v>
      </c>
      <c r="J416" s="27">
        <f>PK!I33</f>
        <v>40908400</v>
      </c>
      <c r="K416" s="27">
        <f>PK!J33</f>
        <v>28678781</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1889834</v>
      </c>
      <c r="X416" s="27">
        <f>PK!W33</f>
        <v>4175</v>
      </c>
      <c r="Y416" s="27">
        <f>PK!X33</f>
        <v>71481190</v>
      </c>
      <c r="Z416" s="27">
        <f>PK!Y33</f>
        <v>0</v>
      </c>
      <c r="AA416" s="27">
        <f>PK!Z33</f>
        <v>71481190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52083276.97</v>
      </c>
      <c r="I420" s="27">
        <f t="shared" si="25"/>
        <v>0</v>
      </c>
      <c r="J420" s="27">
        <f>PK!I39</f>
        <v>40908400</v>
      </c>
      <c r="K420" s="27">
        <f>PK!J39</f>
        <v>28678781</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1889834</v>
      </c>
      <c r="X420" s="27">
        <f>PK!W39</f>
        <v>4175</v>
      </c>
      <c r="Y420" s="27">
        <f>PK!X39</f>
        <v>71481190</v>
      </c>
      <c r="Z420" s="27">
        <f>PK!Y39</f>
        <v>0</v>
      </c>
      <c r="AA420" s="27">
        <f>PK!Z39</f>
        <v>71481190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55031255.83</v>
      </c>
      <c r="I423" s="27">
        <f t="shared" si="25"/>
        <v>0</v>
      </c>
      <c r="J423" s="27">
        <f>PK!I42</f>
        <v>40908400</v>
      </c>
      <c r="K423" s="27">
        <f>PK!J42</f>
        <v>28678781</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1889834</v>
      </c>
      <c r="X423" s="27">
        <f>PK!W42</f>
        <v>4175</v>
      </c>
      <c r="Y423" s="27">
        <f>PK!X42</f>
        <v>71481190</v>
      </c>
      <c r="Z423" s="27">
        <f>PK!Y42</f>
        <v>0</v>
      </c>
      <c r="AA423" s="27">
        <f>PK!Z42</f>
        <v>71481190</v>
      </c>
    </row>
    <row r="424" spans="4:27" ht="12.75">
      <c r="D424" s="4" t="s">
        <v>795</v>
      </c>
      <c r="E424" s="4">
        <v>6</v>
      </c>
      <c r="F424" s="4">
        <f>PK!G43</f>
        <v>32</v>
      </c>
      <c r="G424" s="4">
        <f>IF(PK!H43&lt;&gt;"",PK!H43,"")</f>
      </c>
      <c r="H424" s="26">
        <f t="shared" si="24"/>
        <v>1551166.0499999998</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3165645</v>
      </c>
      <c r="Y424" s="27">
        <f>PK!X43</f>
        <v>3165645</v>
      </c>
      <c r="Z424" s="27">
        <f>PK!Y43</f>
        <v>0</v>
      </c>
      <c r="AA424" s="27">
        <f>PK!Z43</f>
        <v>3165645</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641523.6</v>
      </c>
      <c r="I432" s="27">
        <f t="shared" si="25"/>
        <v>0</v>
      </c>
      <c r="J432" s="27">
        <f>PK!I51</f>
        <v>0</v>
      </c>
      <c r="K432" s="27">
        <f>PK!J51</f>
        <v>562740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562740</v>
      </c>
      <c r="Z432" s="27">
        <f>PK!Y51</f>
        <v>0</v>
      </c>
      <c r="AA432" s="27">
        <f>PK!Z51</f>
        <v>562740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-33241638.7</v>
      </c>
      <c r="I440" s="27">
        <f t="shared" si="25"/>
        <v>0</v>
      </c>
      <c r="J440" s="27">
        <f>PK!I59</f>
        <v>-5814000</v>
      </c>
      <c r="K440" s="27">
        <f>PK!J59</f>
        <v>-21903199</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-27717199</v>
      </c>
      <c r="Z440" s="27">
        <f>PK!Y59</f>
        <v>0</v>
      </c>
      <c r="AA440" s="27">
        <f>PK!Z59</f>
        <v>-27717199</v>
      </c>
    </row>
    <row r="441" spans="4:27" ht="12.75">
      <c r="D441" s="4" t="s">
        <v>795</v>
      </c>
      <c r="E441" s="4">
        <v>6</v>
      </c>
      <c r="F441" s="4">
        <f>PK!G60</f>
        <v>49</v>
      </c>
      <c r="G441" s="4">
        <f>IF(PK!H60&lt;&gt;"",PK!H60,"")</f>
      </c>
      <c r="H441" s="26">
        <f t="shared" si="24"/>
        <v>-41.75</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4175</v>
      </c>
      <c r="X441" s="27">
        <f>PK!W60</f>
        <v>-4175</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42270648.29</v>
      </c>
      <c r="I443" s="27">
        <f t="shared" si="25"/>
        <v>0</v>
      </c>
      <c r="J443" s="27">
        <f>PK!I62</f>
        <v>35094400</v>
      </c>
      <c r="K443" s="27">
        <f>PK!J62</f>
        <v>7338322</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1894009</v>
      </c>
      <c r="X443" s="27">
        <f>PK!W62</f>
        <v>3165645</v>
      </c>
      <c r="Y443" s="27">
        <f>PK!X62</f>
        <v>47492376</v>
      </c>
      <c r="Z443" s="27">
        <f>PK!Y62</f>
        <v>0</v>
      </c>
      <c r="AA443" s="27">
        <f>PK!Z62</f>
        <v>47492376</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02" activePane="bottomLeft" state="frozen"/>
      <selection pane="topLeft" activeCell="A2" sqref="A2"/>
      <selection pane="bottomLeft" activeCell="C112" sqref="C112:J11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PONIKVE EKO OTOK KRK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3</v>
      </c>
      <c r="T3" s="206" t="s">
        <v>614</v>
      </c>
      <c r="U3" s="224" t="str">
        <f>RefStr!L21</f>
        <v>89015118914</v>
      </c>
      <c r="V3" s="206" t="s">
        <v>2736</v>
      </c>
      <c r="W3" s="224">
        <f>RefStr!C31</f>
        <v>51500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04155352667</v>
      </c>
      <c r="V4" s="206" t="s">
        <v>2737</v>
      </c>
      <c r="W4" s="224" t="str">
        <f>RefStr!F31</f>
        <v>KRK</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1</v>
      </c>
      <c r="P5" s="207">
        <f>NT_I!Q2</f>
        <v>1</v>
      </c>
      <c r="Q5" s="224">
        <f>NT_I!Q3</f>
        <v>1</v>
      </c>
      <c r="R5" s="206" t="s">
        <v>2888</v>
      </c>
      <c r="S5" s="224">
        <f>IF(RefStr!C19&lt;&gt;"",IF(ISERROR(INT(RefStr!C19)),0,RefStr!C19),0)</f>
        <v>2</v>
      </c>
      <c r="T5" s="206" t="s">
        <v>1560</v>
      </c>
      <c r="U5" s="224" t="str">
        <f>RefStr!H27</f>
        <v>04129466</v>
      </c>
      <c r="V5" s="206" t="s">
        <v>2738</v>
      </c>
      <c r="W5" s="224" t="str">
        <f>RefStr!C33</f>
        <v>VRŠANSKA 14</v>
      </c>
      <c r="X5" s="226" t="s">
        <v>2929</v>
      </c>
      <c r="Y5" s="227" t="str">
        <f>RefStr!I62</f>
        <v>DA</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040315364</v>
      </c>
      <c r="V6" s="206" t="s">
        <v>2968</v>
      </c>
      <c r="W6" s="224" t="str">
        <f>RefStr!L35</f>
        <v>051654620</v>
      </c>
      <c r="X6" s="206" t="s">
        <v>2926</v>
      </c>
      <c r="Y6" s="224" t="str">
        <f>RefStr!C68</f>
        <v>Zvjezdana Ponoš</v>
      </c>
      <c r="Z6" s="206" t="s">
        <v>2952</v>
      </c>
      <c r="AA6" s="224">
        <f>RefStr!C46</f>
        <v>0</v>
      </c>
    </row>
    <row r="7" spans="1:27" ht="13.5" customHeight="1">
      <c r="A7" s="505"/>
      <c r="B7" s="506"/>
      <c r="C7" s="506"/>
      <c r="D7" s="506"/>
      <c r="E7" s="506"/>
      <c r="F7" s="506"/>
      <c r="G7" s="506"/>
      <c r="H7" s="506"/>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1</v>
      </c>
      <c r="V7" s="206" t="s">
        <v>2884</v>
      </c>
      <c r="W7" s="224" t="str">
        <f>TRIM(UPPER(RefStr!C35))</f>
        <v>PONIKVE@PONIKVE.HR</v>
      </c>
      <c r="X7" s="206" t="s">
        <v>2927</v>
      </c>
      <c r="Y7" s="224" t="str">
        <f>RefStr!C70</f>
        <v>051654620</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3811</v>
      </c>
      <c r="X8" s="206" t="s">
        <v>2928</v>
      </c>
      <c r="Y8" s="224" t="str">
        <f>TRIM(UPPER(RefStr!C72))</f>
        <v>ZVJEZDANA.PONOS@PONIKVE.HR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138</v>
      </c>
      <c r="Q9" s="223">
        <f>RefStr!F58</f>
        <v>134</v>
      </c>
      <c r="R9" s="206" t="s">
        <v>914</v>
      </c>
      <c r="S9" s="224">
        <f>IF(RefStr!F4&lt;&gt;"",RefStr!F4,0)</f>
        <v>44926</v>
      </c>
      <c r="T9" s="206" t="s">
        <v>891</v>
      </c>
      <c r="U9" s="224">
        <f>RefStr!C39</f>
        <v>215</v>
      </c>
      <c r="V9" s="206" t="s">
        <v>2951</v>
      </c>
      <c r="W9" s="224" t="str">
        <f>RefStr!D42</f>
        <v>Skupljanje neopasnog otpada</v>
      </c>
      <c r="X9" s="230" t="s">
        <v>1782</v>
      </c>
      <c r="Y9" s="231" t="str">
        <f>RefStr!I66</f>
        <v>DA</v>
      </c>
      <c r="Z9" s="228" t="s">
        <v>1781</v>
      </c>
      <c r="AA9" s="229" t="str">
        <f>RefStr!I64</f>
        <v>DA</v>
      </c>
    </row>
    <row r="10" spans="1:27" ht="13.5" customHeight="1">
      <c r="A10" s="516"/>
      <c r="B10" s="516"/>
      <c r="C10" s="516"/>
      <c r="D10" s="516"/>
      <c r="E10" s="516"/>
      <c r="F10" s="516"/>
      <c r="G10" s="516"/>
      <c r="H10" s="516"/>
      <c r="I10" s="516"/>
      <c r="J10" s="516"/>
      <c r="L10" s="190"/>
      <c r="M10" s="190"/>
      <c r="O10" s="222" t="s">
        <v>1998</v>
      </c>
      <c r="P10" s="208">
        <f>RefStr!C56</f>
        <v>137</v>
      </c>
      <c r="Q10" s="225">
        <f>RefStr!F56</f>
        <v>133</v>
      </c>
      <c r="R10" s="208" t="s">
        <v>917</v>
      </c>
      <c r="S10" s="225">
        <f>RefStr!C23</f>
        <v>1</v>
      </c>
      <c r="T10" s="208" t="s">
        <v>2973</v>
      </c>
      <c r="U10" s="225" t="str">
        <f>RefStr!D39</f>
        <v>Krk</v>
      </c>
      <c r="V10" s="232"/>
      <c r="W10" s="233"/>
      <c r="X10" s="234" t="s">
        <v>2279</v>
      </c>
      <c r="Y10" s="235">
        <f>RefStr!F12</f>
        <v>2022</v>
      </c>
      <c r="Z10" s="208" t="s">
        <v>1771</v>
      </c>
      <c r="AA10" s="225" t="str">
        <f>RefStr!A75</f>
        <v>Neven Hržić str.spec.ing.građ.</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C:\Users\Zvjezdana.LOCAL\Desktop\eko 2022\javna objava\[EKO-GFI-POD 2022-javna objava.xls]RefStr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C112" sqref="C112:J112"/>
      <selection pane="bottomLeft" activeCell="L21" sqref="L21:N2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1</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412946.6</v>
      </c>
    </row>
    <row r="13" spans="4:17" ht="9.75" customHeight="1">
      <c r="D13" s="152"/>
      <c r="E13" s="158"/>
      <c r="H13" s="23"/>
      <c r="I13" s="159"/>
      <c r="J13" s="159"/>
      <c r="K13" s="152"/>
      <c r="L13" s="152"/>
      <c r="M13" s="152"/>
      <c r="N13" s="152"/>
      <c r="P13" s="50" t="s">
        <v>1561</v>
      </c>
      <c r="Q13" s="51">
        <f>INT(VALUE(M27))/50</f>
        <v>806307.28</v>
      </c>
    </row>
    <row r="14" spans="1:17" ht="15">
      <c r="A14" s="377" t="s">
        <v>1312</v>
      </c>
      <c r="B14" s="377"/>
      <c r="C14" s="377"/>
      <c r="D14" s="160"/>
      <c r="E14" s="161"/>
      <c r="F14" s="375"/>
      <c r="G14" s="376"/>
      <c r="H14" s="376"/>
      <c r="I14" s="152"/>
      <c r="J14" s="367" t="s">
        <v>1978</v>
      </c>
      <c r="K14" s="368"/>
      <c r="L14" s="368"/>
      <c r="M14" s="368"/>
      <c r="N14" s="368"/>
      <c r="P14" s="50" t="s">
        <v>1316</v>
      </c>
      <c r="Q14" s="51">
        <f>INT(VALUE(C27))/100</f>
        <v>41553526.67</v>
      </c>
    </row>
    <row r="15" spans="1:17" ht="19.5" customHeight="1">
      <c r="A15" s="364">
        <f>Skriveni!B59</f>
        <v>3719071618.3</v>
      </c>
      <c r="B15" s="365"/>
      <c r="C15" s="366"/>
      <c r="D15" s="56"/>
      <c r="E15" s="56"/>
      <c r="F15" s="56"/>
      <c r="G15" s="56"/>
      <c r="H15" s="56"/>
      <c r="I15" s="56"/>
      <c r="J15" s="56"/>
      <c r="K15" s="56"/>
      <c r="L15" s="56"/>
      <c r="M15" s="56"/>
      <c r="N15" s="56"/>
      <c r="P15" s="50" t="s">
        <v>887</v>
      </c>
      <c r="Q15" s="51">
        <f>LEN(Skriveni!B9)</f>
        <v>27</v>
      </c>
    </row>
    <row r="16" spans="4:17" ht="12.75" customHeight="1">
      <c r="D16" s="56"/>
      <c r="E16" s="56"/>
      <c r="F16" s="56"/>
      <c r="G16" s="56"/>
      <c r="H16" s="56"/>
      <c r="I16" s="56"/>
      <c r="P16" s="50" t="s">
        <v>888</v>
      </c>
      <c r="Q16" s="51">
        <f>INT(VALUE(C31))/100</f>
        <v>515</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3</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2994</v>
      </c>
      <c r="P19" s="50" t="s">
        <v>890</v>
      </c>
      <c r="Q19" s="51">
        <f>LEN(Skriveni!B12)</f>
        <v>11</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1587</v>
      </c>
      <c r="J21" s="378" t="s">
        <v>1988</v>
      </c>
      <c r="K21" s="379"/>
      <c r="L21" s="288" t="s">
        <v>2995</v>
      </c>
      <c r="M21" s="319"/>
      <c r="N21" s="290"/>
      <c r="P21" s="50" t="s">
        <v>891</v>
      </c>
      <c r="Q21" s="51">
        <f>INT(VALUE(C39))</f>
        <v>215</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3811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2982</v>
      </c>
      <c r="D27" s="289"/>
      <c r="E27" s="290"/>
      <c r="F27" s="280" t="s">
        <v>2787</v>
      </c>
      <c r="G27" s="307"/>
      <c r="H27" s="288" t="s">
        <v>2983</v>
      </c>
      <c r="I27" s="305"/>
      <c r="J27" s="280" t="s">
        <v>1977</v>
      </c>
      <c r="K27" s="281"/>
      <c r="L27" s="306"/>
      <c r="M27" s="288" t="s">
        <v>2984</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2985</v>
      </c>
      <c r="D29" s="303"/>
      <c r="E29" s="303"/>
      <c r="F29" s="303"/>
      <c r="G29" s="303"/>
      <c r="H29" s="303"/>
      <c r="I29" s="303"/>
      <c r="J29" s="303"/>
      <c r="K29" s="303"/>
      <c r="L29" s="304"/>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51500</v>
      </c>
      <c r="D31" s="328" t="s">
        <v>929</v>
      </c>
      <c r="E31" s="329"/>
      <c r="F31" s="302" t="s">
        <v>2986</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2987</v>
      </c>
      <c r="D33" s="303"/>
      <c r="E33" s="303"/>
      <c r="F33" s="303"/>
      <c r="G33" s="303"/>
      <c r="H33" s="303"/>
      <c r="I33" s="303"/>
      <c r="J33" s="303"/>
      <c r="K33" s="303"/>
      <c r="L33" s="304"/>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2988</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2989</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215</v>
      </c>
      <c r="D39" s="278" t="str">
        <f>IF(C39="","Upišite šifru grada/općine",IF(ISNA(LOOKUP(C39,A177:A732,A177:A732)),"Šifra grada/općine ne postoji",IF(LOOKUP(C39,A177:A732,A177:A732)&lt;&gt;C39,"Šifra grada/općine ne postoji",LOOKUP(C39,A177:A732,B177:B732))))</f>
        <v>Krk</v>
      </c>
      <c r="E39" s="323"/>
      <c r="F39" s="323"/>
      <c r="G39" s="323"/>
      <c r="H39" s="287" t="s">
        <v>2109</v>
      </c>
      <c r="I39" s="306"/>
      <c r="J39" s="54">
        <f>IF(C39&gt;0,LOOKUP(C39,A177:A732,C177:C732),"")</f>
        <v>8</v>
      </c>
      <c r="K39" s="332" t="str">
        <f>IF(J39="","Upišite šifru grada/općine",LOOKUP(J39,A153:A173,B153:B173))</f>
        <v>PRIMORSKO-GORANSKA</v>
      </c>
      <c r="L39" s="332"/>
      <c r="M39" s="332"/>
      <c r="N39" s="332"/>
      <c r="P39" s="50" t="s">
        <v>896</v>
      </c>
      <c r="Q39" s="51">
        <f>C56+2*F56+3*C58+4*F58</f>
        <v>1353</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2350</v>
      </c>
      <c r="D42" s="320" t="str">
        <f>IF(C42="","Upišite šifru razreda glavne djelatnosti",IF(ISNA(LOOKUP(C42,A736:A1351,A736:A1351)),"Šifra NKD-a ne postoji",IF(LOOKUP(C42,A736:A1351,A736:A1351)&lt;&gt;C42,"Šifra NKD-a ne postoji",LOOKUP(C42,A736:A1351,B736:B1351))))</f>
        <v>Skupljanje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30</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890151189.14</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3</v>
      </c>
      <c r="D50" s="274" t="str">
        <f>IF(C50="","Upišite oznaku veličine",IF(ISNA(LOOKUP(C50,A124:A127,A124:A127)),"Nepostojeća oznaka veličine",IF(LOOKUP(C50,A124:A127,A124:A127)&lt;&gt;C50,"Nepostojeća oznaka veličine",LOOKUP(C50,A124:A127,B124:B127))))</f>
        <v>Srednji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137</v>
      </c>
      <c r="D56" s="326" t="s">
        <v>2653</v>
      </c>
      <c r="E56" s="327"/>
      <c r="F56" s="40">
        <v>133</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138</v>
      </c>
      <c r="D58" s="314" t="s">
        <v>2653</v>
      </c>
      <c r="E58" s="314"/>
      <c r="F58" s="40">
        <v>134</v>
      </c>
      <c r="G58" s="314" t="s">
        <v>2654</v>
      </c>
      <c r="H58" s="314"/>
      <c r="I58" s="5" t="str">
        <f>IF(OR(NT_I!Q1&lt;&gt;0,NT_D!Q1&lt;&gt;0),"DA","NE")</f>
        <v>DA</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DA</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1587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1587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2991</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2990</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2992</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2993</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0" activePane="bottomLeft" state="frozen"/>
      <selection pane="topLeft" activeCell="C112" sqref="C112:J112"/>
      <selection pane="bottomLeft" activeCell="A112" sqref="A112:J11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04155352667; PONIKVE EKO OTOK KRK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89985650</v>
      </c>
      <c r="J10" s="66">
        <f>J11+J18+J28+J39+J44</f>
        <v>58423048</v>
      </c>
    </row>
    <row r="11" spans="1:10" ht="13.5" customHeight="1">
      <c r="A11" s="386" t="s">
        <v>904</v>
      </c>
      <c r="B11" s="386"/>
      <c r="C11" s="386"/>
      <c r="D11" s="386"/>
      <c r="E11" s="386"/>
      <c r="F11" s="386"/>
      <c r="G11" s="15">
        <v>3</v>
      </c>
      <c r="H11" s="16"/>
      <c r="I11" s="66">
        <f>SUM(I12:I17)</f>
        <v>1113719</v>
      </c>
      <c r="J11" s="66">
        <f>SUM(J12:J17)</f>
        <v>851880</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v>1113719</v>
      </c>
      <c r="J17" s="67">
        <v>851880</v>
      </c>
    </row>
    <row r="18" spans="1:10" ht="13.5" customHeight="1">
      <c r="A18" s="386" t="s">
        <v>965</v>
      </c>
      <c r="B18" s="386"/>
      <c r="C18" s="386"/>
      <c r="D18" s="386"/>
      <c r="E18" s="386"/>
      <c r="F18" s="386"/>
      <c r="G18" s="15">
        <v>10</v>
      </c>
      <c r="H18" s="16"/>
      <c r="I18" s="66">
        <f>SUM(I19:I27)</f>
        <v>87900331</v>
      </c>
      <c r="J18" s="66">
        <f>SUM(J19:J27)</f>
        <v>52842659</v>
      </c>
    </row>
    <row r="19" spans="1:10" ht="13.5" customHeight="1">
      <c r="A19" s="385" t="s">
        <v>733</v>
      </c>
      <c r="B19" s="385"/>
      <c r="C19" s="385"/>
      <c r="D19" s="385"/>
      <c r="E19" s="385"/>
      <c r="F19" s="385"/>
      <c r="G19" s="15">
        <v>11</v>
      </c>
      <c r="H19" s="16"/>
      <c r="I19" s="67">
        <v>849933</v>
      </c>
      <c r="J19" s="67">
        <v>849932</v>
      </c>
    </row>
    <row r="20" spans="1:10" ht="13.5" customHeight="1">
      <c r="A20" s="385" t="s">
        <v>796</v>
      </c>
      <c r="B20" s="385"/>
      <c r="C20" s="385"/>
      <c r="D20" s="385"/>
      <c r="E20" s="385"/>
      <c r="F20" s="385"/>
      <c r="G20" s="15">
        <v>12</v>
      </c>
      <c r="H20" s="16"/>
      <c r="I20" s="67">
        <v>31801964</v>
      </c>
      <c r="J20" s="67">
        <v>22085134</v>
      </c>
    </row>
    <row r="21" spans="1:10" ht="13.5" customHeight="1">
      <c r="A21" s="385" t="s">
        <v>734</v>
      </c>
      <c r="B21" s="385"/>
      <c r="C21" s="385"/>
      <c r="D21" s="385"/>
      <c r="E21" s="385"/>
      <c r="F21" s="385"/>
      <c r="G21" s="15">
        <v>13</v>
      </c>
      <c r="H21" s="16"/>
      <c r="I21" s="67">
        <v>5643474</v>
      </c>
      <c r="J21" s="67">
        <v>7810830</v>
      </c>
    </row>
    <row r="22" spans="1:10" ht="13.5" customHeight="1">
      <c r="A22" s="385" t="s">
        <v>405</v>
      </c>
      <c r="B22" s="385"/>
      <c r="C22" s="385"/>
      <c r="D22" s="385"/>
      <c r="E22" s="385"/>
      <c r="F22" s="385"/>
      <c r="G22" s="15">
        <v>14</v>
      </c>
      <c r="H22" s="16"/>
      <c r="I22" s="67">
        <v>24754123</v>
      </c>
      <c r="J22" s="67">
        <v>21821441</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v>24850837</v>
      </c>
      <c r="J25" s="67">
        <v>275322</v>
      </c>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971600</v>
      </c>
      <c r="J28" s="66">
        <f>SUM(J29:J38)</f>
        <v>4728509</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v>298000</v>
      </c>
      <c r="J32" s="67">
        <v>0</v>
      </c>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v>0</v>
      </c>
      <c r="J36" s="67">
        <v>4099809</v>
      </c>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v>673600</v>
      </c>
      <c r="J38" s="67">
        <v>628700</v>
      </c>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17679281</v>
      </c>
      <c r="J45" s="66">
        <f>J46+J54+J61+J71</f>
        <v>21123145</v>
      </c>
    </row>
    <row r="46" spans="1:10" ht="13.5" customHeight="1">
      <c r="A46" s="386" t="s">
        <v>1264</v>
      </c>
      <c r="B46" s="386"/>
      <c r="C46" s="386"/>
      <c r="D46" s="386"/>
      <c r="E46" s="386"/>
      <c r="F46" s="386"/>
      <c r="G46" s="15">
        <v>38</v>
      </c>
      <c r="H46" s="16"/>
      <c r="I46" s="66">
        <f>SUM(I47:I53)</f>
        <v>899935</v>
      </c>
      <c r="J46" s="66">
        <f>SUM(J47:J53)</f>
        <v>357194</v>
      </c>
    </row>
    <row r="47" spans="1:10" ht="13.5" customHeight="1">
      <c r="A47" s="385" t="s">
        <v>1892</v>
      </c>
      <c r="B47" s="385"/>
      <c r="C47" s="385"/>
      <c r="D47" s="385"/>
      <c r="E47" s="385"/>
      <c r="F47" s="385"/>
      <c r="G47" s="15">
        <v>39</v>
      </c>
      <c r="H47" s="16"/>
      <c r="I47" s="67">
        <v>894380</v>
      </c>
      <c r="J47" s="67">
        <v>357044</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v>5555</v>
      </c>
      <c r="J51" s="67">
        <v>150</v>
      </c>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6161466</v>
      </c>
      <c r="J54" s="66">
        <f>SUM(J55:J60)</f>
        <v>6844526</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v>1350428</v>
      </c>
      <c r="J56" s="67">
        <v>0</v>
      </c>
    </row>
    <row r="57" spans="1:10" ht="13.5" customHeight="1">
      <c r="A57" s="385" t="s">
        <v>1253</v>
      </c>
      <c r="B57" s="385"/>
      <c r="C57" s="385"/>
      <c r="D57" s="385"/>
      <c r="E57" s="385"/>
      <c r="F57" s="385"/>
      <c r="G57" s="15">
        <v>49</v>
      </c>
      <c r="H57" s="16"/>
      <c r="I57" s="67">
        <v>4510920</v>
      </c>
      <c r="J57" s="67">
        <v>5827676</v>
      </c>
    </row>
    <row r="58" spans="1:10" ht="13.5" customHeight="1">
      <c r="A58" s="385" t="s">
        <v>2009</v>
      </c>
      <c r="B58" s="385"/>
      <c r="C58" s="385"/>
      <c r="D58" s="385"/>
      <c r="E58" s="385"/>
      <c r="F58" s="385"/>
      <c r="G58" s="15">
        <v>50</v>
      </c>
      <c r="H58" s="16"/>
      <c r="I58" s="67">
        <v>36667</v>
      </c>
      <c r="J58" s="67">
        <v>17722</v>
      </c>
    </row>
    <row r="59" spans="1:10" ht="13.5" customHeight="1">
      <c r="A59" s="385" t="s">
        <v>2010</v>
      </c>
      <c r="B59" s="385"/>
      <c r="C59" s="385"/>
      <c r="D59" s="385"/>
      <c r="E59" s="385"/>
      <c r="F59" s="385"/>
      <c r="G59" s="15">
        <v>51</v>
      </c>
      <c r="H59" s="16"/>
      <c r="I59" s="67">
        <v>150984</v>
      </c>
      <c r="J59" s="67">
        <v>155157</v>
      </c>
    </row>
    <row r="60" spans="1:10" ht="13.5" customHeight="1">
      <c r="A60" s="385" t="s">
        <v>1255</v>
      </c>
      <c r="B60" s="385"/>
      <c r="C60" s="385"/>
      <c r="D60" s="385"/>
      <c r="E60" s="385"/>
      <c r="F60" s="385"/>
      <c r="G60" s="15">
        <v>52</v>
      </c>
      <c r="H60" s="16"/>
      <c r="I60" s="67">
        <v>112467</v>
      </c>
      <c r="J60" s="67">
        <v>843971</v>
      </c>
    </row>
    <row r="61" spans="1:10" ht="13.5" customHeight="1">
      <c r="A61" s="386" t="s">
        <v>1266</v>
      </c>
      <c r="B61" s="386"/>
      <c r="C61" s="386"/>
      <c r="D61" s="386"/>
      <c r="E61" s="386"/>
      <c r="F61" s="386"/>
      <c r="G61" s="15">
        <v>53</v>
      </c>
      <c r="H61" s="16"/>
      <c r="I61" s="66">
        <f>SUM(I62:I70)</f>
        <v>290</v>
      </c>
      <c r="J61" s="66">
        <f>SUM(J62:J70)</f>
        <v>1285401</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v>290</v>
      </c>
      <c r="J69" s="67">
        <v>1285401</v>
      </c>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10617590</v>
      </c>
      <c r="J71" s="67">
        <v>12636024</v>
      </c>
    </row>
    <row r="72" spans="1:10" ht="24.75" customHeight="1">
      <c r="A72" s="387" t="s">
        <v>591</v>
      </c>
      <c r="B72" s="387"/>
      <c r="C72" s="387"/>
      <c r="D72" s="387"/>
      <c r="E72" s="387"/>
      <c r="F72" s="387"/>
      <c r="G72" s="15">
        <v>64</v>
      </c>
      <c r="H72" s="16"/>
      <c r="I72" s="67"/>
      <c r="J72" s="67"/>
    </row>
    <row r="73" spans="1:10" ht="13.5" customHeight="1">
      <c r="A73" s="387" t="s">
        <v>1267</v>
      </c>
      <c r="B73" s="387"/>
      <c r="C73" s="387"/>
      <c r="D73" s="387"/>
      <c r="E73" s="387"/>
      <c r="F73" s="387"/>
      <c r="G73" s="15">
        <v>65</v>
      </c>
      <c r="H73" s="16"/>
      <c r="I73" s="66">
        <f>I9+I10+I45+I72</f>
        <v>107664931</v>
      </c>
      <c r="J73" s="66">
        <f>J9+J10+J45+J72</f>
        <v>79546193</v>
      </c>
    </row>
    <row r="74" spans="1:10" ht="13.5" customHeight="1">
      <c r="A74" s="388" t="s">
        <v>1004</v>
      </c>
      <c r="B74" s="388"/>
      <c r="C74" s="388"/>
      <c r="D74" s="388"/>
      <c r="E74" s="388"/>
      <c r="F74" s="388"/>
      <c r="G74" s="17">
        <v>66</v>
      </c>
      <c r="H74" s="18"/>
      <c r="I74" s="68">
        <v>24619809</v>
      </c>
      <c r="J74" s="68">
        <v>29468288</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71481190</v>
      </c>
      <c r="J76" s="66">
        <f>J77+J78+J79+J85+J86+J92+J95+J98</f>
        <v>47492376</v>
      </c>
      <c r="L76" s="2" t="s">
        <v>1209</v>
      </c>
    </row>
    <row r="77" spans="1:10" ht="13.5" customHeight="1">
      <c r="A77" s="386" t="s">
        <v>1857</v>
      </c>
      <c r="B77" s="386"/>
      <c r="C77" s="386"/>
      <c r="D77" s="386"/>
      <c r="E77" s="386"/>
      <c r="F77" s="386"/>
      <c r="G77" s="15">
        <v>68</v>
      </c>
      <c r="H77" s="16"/>
      <c r="I77" s="67">
        <v>40908400</v>
      </c>
      <c r="J77" s="67">
        <v>35094400</v>
      </c>
    </row>
    <row r="78" spans="1:12" ht="13.5" customHeight="1">
      <c r="A78" s="386" t="s">
        <v>1858</v>
      </c>
      <c r="B78" s="386"/>
      <c r="C78" s="386"/>
      <c r="D78" s="386"/>
      <c r="E78" s="386"/>
      <c r="F78" s="386"/>
      <c r="G78" s="15">
        <v>69</v>
      </c>
      <c r="H78" s="16"/>
      <c r="I78" s="67">
        <v>28678781</v>
      </c>
      <c r="J78" s="67">
        <v>7338322</v>
      </c>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1889834</v>
      </c>
      <c r="J92" s="66">
        <f>J93-J94</f>
        <v>1894009</v>
      </c>
      <c r="L92" s="2" t="s">
        <v>1209</v>
      </c>
    </row>
    <row r="93" spans="1:10" ht="13.5" customHeight="1">
      <c r="A93" s="385" t="s">
        <v>2830</v>
      </c>
      <c r="B93" s="385"/>
      <c r="C93" s="385"/>
      <c r="D93" s="385"/>
      <c r="E93" s="385"/>
      <c r="F93" s="385"/>
      <c r="G93" s="15">
        <v>84</v>
      </c>
      <c r="H93" s="16"/>
      <c r="I93" s="67">
        <v>1889834</v>
      </c>
      <c r="J93" s="67">
        <v>1894009</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4175</v>
      </c>
      <c r="J95" s="66">
        <f>J96-J97</f>
        <v>3165645</v>
      </c>
      <c r="L95" s="2" t="s">
        <v>1209</v>
      </c>
    </row>
    <row r="96" spans="1:10" ht="13.5" customHeight="1">
      <c r="A96" s="385" t="s">
        <v>1257</v>
      </c>
      <c r="B96" s="385"/>
      <c r="C96" s="385"/>
      <c r="D96" s="385"/>
      <c r="E96" s="385"/>
      <c r="F96" s="385"/>
      <c r="G96" s="15">
        <v>87</v>
      </c>
      <c r="H96" s="16"/>
      <c r="I96" s="67">
        <v>4175</v>
      </c>
      <c r="J96" s="67">
        <v>3165645</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11741784</v>
      </c>
      <c r="J106" s="66">
        <f>SUM(J107:J117)</f>
        <v>10363668</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11741784</v>
      </c>
      <c r="J112" s="67">
        <v>10363668</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7827562</v>
      </c>
      <c r="J118" s="66">
        <f>SUM(J119:J132)</f>
        <v>7829704</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v>167453</v>
      </c>
      <c r="J123" s="67">
        <v>38680</v>
      </c>
    </row>
    <row r="124" spans="1:10" ht="13.5" customHeight="1">
      <c r="A124" s="385" t="s">
        <v>2021</v>
      </c>
      <c r="B124" s="385"/>
      <c r="C124" s="385"/>
      <c r="D124" s="385"/>
      <c r="E124" s="385"/>
      <c r="F124" s="385"/>
      <c r="G124" s="15">
        <v>115</v>
      </c>
      <c r="H124" s="16"/>
      <c r="I124" s="67">
        <v>3323656</v>
      </c>
      <c r="J124" s="67">
        <v>3089658</v>
      </c>
    </row>
    <row r="125" spans="1:10" ht="13.5" customHeight="1">
      <c r="A125" s="385" t="s">
        <v>2016</v>
      </c>
      <c r="B125" s="385"/>
      <c r="C125" s="385"/>
      <c r="D125" s="385"/>
      <c r="E125" s="385"/>
      <c r="F125" s="385"/>
      <c r="G125" s="15">
        <v>116</v>
      </c>
      <c r="H125" s="16"/>
      <c r="I125" s="67">
        <v>1414194</v>
      </c>
      <c r="J125" s="67">
        <v>311577</v>
      </c>
    </row>
    <row r="126" spans="1:10" ht="13.5" customHeight="1">
      <c r="A126" s="385" t="s">
        <v>2017</v>
      </c>
      <c r="B126" s="385"/>
      <c r="C126" s="385"/>
      <c r="D126" s="385"/>
      <c r="E126" s="385"/>
      <c r="F126" s="385"/>
      <c r="G126" s="15">
        <v>117</v>
      </c>
      <c r="H126" s="16"/>
      <c r="I126" s="67">
        <v>1636960</v>
      </c>
      <c r="J126" s="67">
        <v>2343614</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854753</v>
      </c>
      <c r="J128" s="67">
        <v>885925</v>
      </c>
    </row>
    <row r="129" spans="1:10" ht="13.5" customHeight="1">
      <c r="A129" s="385" t="s">
        <v>2023</v>
      </c>
      <c r="B129" s="385"/>
      <c r="C129" s="385"/>
      <c r="D129" s="385"/>
      <c r="E129" s="385"/>
      <c r="F129" s="385"/>
      <c r="G129" s="15">
        <v>120</v>
      </c>
      <c r="H129" s="16"/>
      <c r="I129" s="67">
        <v>430546</v>
      </c>
      <c r="J129" s="67">
        <v>1160033</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0</v>
      </c>
      <c r="J132" s="67">
        <v>217</v>
      </c>
    </row>
    <row r="133" spans="1:10" ht="24.75" customHeight="1">
      <c r="A133" s="387" t="s">
        <v>593</v>
      </c>
      <c r="B133" s="387"/>
      <c r="C133" s="387"/>
      <c r="D133" s="387"/>
      <c r="E133" s="387"/>
      <c r="F133" s="387"/>
      <c r="G133" s="15">
        <v>124</v>
      </c>
      <c r="H133" s="16"/>
      <c r="I133" s="67">
        <v>16614395</v>
      </c>
      <c r="J133" s="67">
        <v>13860445</v>
      </c>
    </row>
    <row r="134" spans="1:10" ht="13.5" customHeight="1">
      <c r="A134" s="387" t="s">
        <v>360</v>
      </c>
      <c r="B134" s="387"/>
      <c r="C134" s="387"/>
      <c r="D134" s="387"/>
      <c r="E134" s="387"/>
      <c r="F134" s="387"/>
      <c r="G134" s="15">
        <v>125</v>
      </c>
      <c r="H134" s="16"/>
      <c r="I134" s="66">
        <f>I76+I99+I106+I118+I133</f>
        <v>107664931</v>
      </c>
      <c r="J134" s="66">
        <f>J76+J99+J106+J118+J133</f>
        <v>79546193</v>
      </c>
    </row>
    <row r="135" spans="1:10" ht="13.5" customHeight="1">
      <c r="A135" s="388" t="s">
        <v>1512</v>
      </c>
      <c r="B135" s="388"/>
      <c r="C135" s="388"/>
      <c r="D135" s="388"/>
      <c r="E135" s="388"/>
      <c r="F135" s="388"/>
      <c r="G135" s="17">
        <v>126</v>
      </c>
      <c r="H135" s="18"/>
      <c r="I135" s="68">
        <v>24619809</v>
      </c>
      <c r="J135" s="68">
        <v>29468288</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82" activePane="bottomLeft" state="frozen"/>
      <selection pane="topLeft" activeCell="C112" sqref="C112:J112"/>
      <selection pane="bottomLeft" activeCell="A112" sqref="A112:J112"/>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20"/>
      <c r="C2" s="420"/>
      <c r="D2" s="420"/>
      <c r="E2" s="420"/>
      <c r="F2" s="420"/>
      <c r="G2" s="420"/>
      <c r="H2" s="420"/>
      <c r="I2" s="421"/>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2"/>
      <c r="C3" s="422"/>
      <c r="D3" s="422"/>
      <c r="E3" s="422"/>
      <c r="F3" s="422"/>
      <c r="G3" s="422"/>
      <c r="H3" s="422"/>
      <c r="I3" s="423"/>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04155352667; PONIKVE EKO OTOK KRK D.O.O.</v>
      </c>
      <c r="B5" s="418"/>
      <c r="C5" s="418"/>
      <c r="D5" s="418"/>
      <c r="E5" s="418"/>
      <c r="F5" s="418"/>
      <c r="G5" s="418"/>
      <c r="H5" s="418"/>
      <c r="I5" s="418"/>
      <c r="J5" s="419"/>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38312500</v>
      </c>
      <c r="J8" s="80">
        <f>SUM(J9:J13)</f>
        <v>47150463</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33710211</v>
      </c>
      <c r="J10" s="67">
        <v>42797045</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4602289</v>
      </c>
      <c r="J13" s="67">
        <v>4353418</v>
      </c>
    </row>
    <row r="14" spans="1:10" s="2" customFormat="1" ht="14.25" customHeight="1">
      <c r="A14" s="387" t="s">
        <v>2492</v>
      </c>
      <c r="B14" s="387"/>
      <c r="C14" s="387"/>
      <c r="D14" s="387"/>
      <c r="E14" s="387"/>
      <c r="F14" s="387"/>
      <c r="G14" s="15">
        <v>133</v>
      </c>
      <c r="H14" s="16"/>
      <c r="I14" s="66">
        <f>I15+I16+I20+I24+I25+I26+I29+I36</f>
        <v>38070188</v>
      </c>
      <c r="J14" s="66">
        <f>J15+J16+J20+J24+J25+J26+J29+J36</f>
        <v>43198344</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12637075</v>
      </c>
      <c r="J16" s="66">
        <f>SUM(J17:J19)</f>
        <v>16682393</v>
      </c>
    </row>
    <row r="17" spans="1:10" s="2" customFormat="1" ht="14.25" customHeight="1">
      <c r="A17" s="416" t="s">
        <v>1273</v>
      </c>
      <c r="B17" s="416"/>
      <c r="C17" s="416"/>
      <c r="D17" s="416"/>
      <c r="E17" s="416"/>
      <c r="F17" s="416"/>
      <c r="G17" s="15">
        <v>136</v>
      </c>
      <c r="H17" s="16"/>
      <c r="I17" s="67">
        <v>4577084</v>
      </c>
      <c r="J17" s="67">
        <v>5001756</v>
      </c>
    </row>
    <row r="18" spans="1:10" s="2" customFormat="1" ht="14.25" customHeight="1">
      <c r="A18" s="416" t="s">
        <v>1274</v>
      </c>
      <c r="B18" s="416"/>
      <c r="C18" s="416"/>
      <c r="D18" s="416"/>
      <c r="E18" s="416"/>
      <c r="F18" s="416"/>
      <c r="G18" s="15">
        <v>137</v>
      </c>
      <c r="H18" s="16"/>
      <c r="I18" s="67"/>
      <c r="J18" s="67"/>
    </row>
    <row r="19" spans="1:10" s="2" customFormat="1" ht="14.25" customHeight="1">
      <c r="A19" s="416" t="s">
        <v>2959</v>
      </c>
      <c r="B19" s="416"/>
      <c r="C19" s="416"/>
      <c r="D19" s="416"/>
      <c r="E19" s="416"/>
      <c r="F19" s="416"/>
      <c r="G19" s="15">
        <v>138</v>
      </c>
      <c r="H19" s="16"/>
      <c r="I19" s="67">
        <v>8059991</v>
      </c>
      <c r="J19" s="67">
        <v>11680637</v>
      </c>
    </row>
    <row r="20" spans="1:10" s="2" customFormat="1" ht="14.25" customHeight="1">
      <c r="A20" s="385" t="s">
        <v>2494</v>
      </c>
      <c r="B20" s="385"/>
      <c r="C20" s="385"/>
      <c r="D20" s="385"/>
      <c r="E20" s="385"/>
      <c r="F20" s="385"/>
      <c r="G20" s="15">
        <v>139</v>
      </c>
      <c r="H20" s="16"/>
      <c r="I20" s="66">
        <f>SUM(I21:I23)</f>
        <v>15065251</v>
      </c>
      <c r="J20" s="66">
        <f>SUM(J21:J23)</f>
        <v>15917519</v>
      </c>
    </row>
    <row r="21" spans="1:10" s="2" customFormat="1" ht="14.25" customHeight="1">
      <c r="A21" s="416" t="s">
        <v>960</v>
      </c>
      <c r="B21" s="416"/>
      <c r="C21" s="416"/>
      <c r="D21" s="416"/>
      <c r="E21" s="416"/>
      <c r="F21" s="416"/>
      <c r="G21" s="15">
        <v>140</v>
      </c>
      <c r="H21" s="16"/>
      <c r="I21" s="67">
        <v>9855512</v>
      </c>
      <c r="J21" s="67">
        <v>10316100</v>
      </c>
    </row>
    <row r="22" spans="1:10" s="2" customFormat="1" ht="14.25" customHeight="1">
      <c r="A22" s="416" t="s">
        <v>1883</v>
      </c>
      <c r="B22" s="416"/>
      <c r="C22" s="416"/>
      <c r="D22" s="416"/>
      <c r="E22" s="416"/>
      <c r="F22" s="416"/>
      <c r="G22" s="15">
        <v>141</v>
      </c>
      <c r="H22" s="16"/>
      <c r="I22" s="67">
        <v>3226879</v>
      </c>
      <c r="J22" s="67">
        <v>3460241</v>
      </c>
    </row>
    <row r="23" spans="1:10" s="2" customFormat="1" ht="14.25" customHeight="1">
      <c r="A23" s="416" t="s">
        <v>1884</v>
      </c>
      <c r="B23" s="416"/>
      <c r="C23" s="416"/>
      <c r="D23" s="416"/>
      <c r="E23" s="416"/>
      <c r="F23" s="416"/>
      <c r="G23" s="15">
        <v>142</v>
      </c>
      <c r="H23" s="16"/>
      <c r="I23" s="67">
        <v>1982860</v>
      </c>
      <c r="J23" s="67">
        <v>2141178</v>
      </c>
    </row>
    <row r="24" spans="1:10" s="2" customFormat="1" ht="14.25" customHeight="1">
      <c r="A24" s="385" t="s">
        <v>1006</v>
      </c>
      <c r="B24" s="385"/>
      <c r="C24" s="385"/>
      <c r="D24" s="385"/>
      <c r="E24" s="385"/>
      <c r="F24" s="385"/>
      <c r="G24" s="15">
        <v>143</v>
      </c>
      <c r="H24" s="16"/>
      <c r="I24" s="67">
        <v>7742255</v>
      </c>
      <c r="J24" s="67">
        <v>7076926</v>
      </c>
    </row>
    <row r="25" spans="1:10" s="2" customFormat="1" ht="14.25" customHeight="1">
      <c r="A25" s="385" t="s">
        <v>1007</v>
      </c>
      <c r="B25" s="385"/>
      <c r="C25" s="385"/>
      <c r="D25" s="385"/>
      <c r="E25" s="385"/>
      <c r="F25" s="385"/>
      <c r="G25" s="15">
        <v>144</v>
      </c>
      <c r="H25" s="16"/>
      <c r="I25" s="67">
        <v>2441079</v>
      </c>
      <c r="J25" s="67">
        <v>3077424</v>
      </c>
    </row>
    <row r="26" spans="1:12" s="2" customFormat="1" ht="14.25" customHeight="1">
      <c r="A26" s="385" t="s">
        <v>2495</v>
      </c>
      <c r="B26" s="385"/>
      <c r="C26" s="385"/>
      <c r="D26" s="385"/>
      <c r="E26" s="385"/>
      <c r="F26" s="385"/>
      <c r="G26" s="15">
        <v>145</v>
      </c>
      <c r="H26" s="16"/>
      <c r="I26" s="66">
        <f>SUM(I27:I28)</f>
        <v>141262</v>
      </c>
      <c r="J26" s="66">
        <f>SUM(J27:J28)</f>
        <v>164932</v>
      </c>
      <c r="L26" s="2" t="s">
        <v>1209</v>
      </c>
    </row>
    <row r="27" spans="1:12" s="2" customFormat="1" ht="14.25" customHeight="1">
      <c r="A27" s="416" t="s">
        <v>1275</v>
      </c>
      <c r="B27" s="416"/>
      <c r="C27" s="416"/>
      <c r="D27" s="416"/>
      <c r="E27" s="416"/>
      <c r="F27" s="416"/>
      <c r="G27" s="15">
        <v>146</v>
      </c>
      <c r="H27" s="16"/>
      <c r="I27" s="67"/>
      <c r="J27" s="67"/>
      <c r="L27" s="2" t="s">
        <v>1209</v>
      </c>
    </row>
    <row r="28" spans="1:12" s="2" customFormat="1" ht="14.25" customHeight="1">
      <c r="A28" s="416" t="s">
        <v>1276</v>
      </c>
      <c r="B28" s="416"/>
      <c r="C28" s="416"/>
      <c r="D28" s="416"/>
      <c r="E28" s="416"/>
      <c r="F28" s="416"/>
      <c r="G28" s="15">
        <v>147</v>
      </c>
      <c r="H28" s="16"/>
      <c r="I28" s="67">
        <v>141262</v>
      </c>
      <c r="J28" s="67">
        <v>164932</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6" t="s">
        <v>1277</v>
      </c>
      <c r="B30" s="416"/>
      <c r="C30" s="416"/>
      <c r="D30" s="416"/>
      <c r="E30" s="416"/>
      <c r="F30" s="416"/>
      <c r="G30" s="15">
        <v>149</v>
      </c>
      <c r="H30" s="16"/>
      <c r="I30" s="67"/>
      <c r="J30" s="67"/>
      <c r="L30" s="2" t="s">
        <v>1209</v>
      </c>
    </row>
    <row r="31" spans="1:12" s="2" customFormat="1" ht="14.25" customHeight="1">
      <c r="A31" s="416" t="s">
        <v>1278</v>
      </c>
      <c r="B31" s="416"/>
      <c r="C31" s="416"/>
      <c r="D31" s="416"/>
      <c r="E31" s="416"/>
      <c r="F31" s="416"/>
      <c r="G31" s="15">
        <v>150</v>
      </c>
      <c r="H31" s="16"/>
      <c r="I31" s="67"/>
      <c r="J31" s="67"/>
      <c r="L31" s="2" t="s">
        <v>1209</v>
      </c>
    </row>
    <row r="32" spans="1:12" s="2" customFormat="1" ht="14.25" customHeight="1">
      <c r="A32" s="416" t="s">
        <v>1279</v>
      </c>
      <c r="B32" s="416"/>
      <c r="C32" s="416"/>
      <c r="D32" s="416"/>
      <c r="E32" s="416"/>
      <c r="F32" s="416"/>
      <c r="G32" s="15">
        <v>151</v>
      </c>
      <c r="H32" s="16"/>
      <c r="I32" s="67"/>
      <c r="J32" s="67"/>
      <c r="L32" s="2" t="s">
        <v>1209</v>
      </c>
    </row>
    <row r="33" spans="1:12" s="2" customFormat="1" ht="14.25" customHeight="1">
      <c r="A33" s="416" t="s">
        <v>1280</v>
      </c>
      <c r="B33" s="416"/>
      <c r="C33" s="416"/>
      <c r="D33" s="416"/>
      <c r="E33" s="416"/>
      <c r="F33" s="416"/>
      <c r="G33" s="15">
        <v>152</v>
      </c>
      <c r="H33" s="16"/>
      <c r="I33" s="67"/>
      <c r="J33" s="67"/>
      <c r="L33" s="2" t="s">
        <v>1209</v>
      </c>
    </row>
    <row r="34" spans="1:12" s="2" customFormat="1" ht="14.25" customHeight="1">
      <c r="A34" s="416" t="s">
        <v>1281</v>
      </c>
      <c r="B34" s="416"/>
      <c r="C34" s="416"/>
      <c r="D34" s="416"/>
      <c r="E34" s="416"/>
      <c r="F34" s="416"/>
      <c r="G34" s="15">
        <v>153</v>
      </c>
      <c r="H34" s="16"/>
      <c r="I34" s="67"/>
      <c r="J34" s="67"/>
      <c r="L34" s="2" t="s">
        <v>1209</v>
      </c>
    </row>
    <row r="35" spans="1:12" s="2" customFormat="1" ht="14.25" customHeight="1">
      <c r="A35" s="416" t="s">
        <v>1282</v>
      </c>
      <c r="B35" s="416"/>
      <c r="C35" s="416"/>
      <c r="D35" s="416"/>
      <c r="E35" s="416"/>
      <c r="F35" s="416"/>
      <c r="G35" s="15">
        <v>154</v>
      </c>
      <c r="H35" s="16"/>
      <c r="I35" s="67"/>
      <c r="J35" s="67"/>
      <c r="L35" s="2" t="s">
        <v>1209</v>
      </c>
    </row>
    <row r="36" spans="1:10" s="2" customFormat="1" ht="14.25" customHeight="1">
      <c r="A36" s="385" t="s">
        <v>147</v>
      </c>
      <c r="B36" s="385"/>
      <c r="C36" s="385"/>
      <c r="D36" s="385"/>
      <c r="E36" s="385"/>
      <c r="F36" s="385"/>
      <c r="G36" s="15">
        <v>155</v>
      </c>
      <c r="H36" s="16"/>
      <c r="I36" s="67">
        <v>43266</v>
      </c>
      <c r="J36" s="67">
        <v>279150</v>
      </c>
    </row>
    <row r="37" spans="1:10" s="2" customFormat="1" ht="14.25" customHeight="1">
      <c r="A37" s="387" t="s">
        <v>2497</v>
      </c>
      <c r="B37" s="387"/>
      <c r="C37" s="387"/>
      <c r="D37" s="387"/>
      <c r="E37" s="387"/>
      <c r="F37" s="387"/>
      <c r="G37" s="15">
        <v>156</v>
      </c>
      <c r="H37" s="16"/>
      <c r="I37" s="66">
        <f>SUM(I38:I47)</f>
        <v>106775</v>
      </c>
      <c r="J37" s="66">
        <f>SUM(J38:J47)</f>
        <v>424724</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106774</v>
      </c>
      <c r="J44" s="67">
        <v>126724</v>
      </c>
    </row>
    <row r="45" spans="1:10" s="2" customFormat="1" ht="14.25" customHeight="1">
      <c r="A45" s="385" t="s">
        <v>2961</v>
      </c>
      <c r="B45" s="385"/>
      <c r="C45" s="385"/>
      <c r="D45" s="385"/>
      <c r="E45" s="385"/>
      <c r="F45" s="385"/>
      <c r="G45" s="15">
        <v>164</v>
      </c>
      <c r="H45" s="16"/>
      <c r="I45" s="67">
        <v>1</v>
      </c>
      <c r="J45" s="67">
        <v>0</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v>0</v>
      </c>
      <c r="J47" s="67">
        <v>298000</v>
      </c>
    </row>
    <row r="48" spans="1:10" s="2" customFormat="1" ht="14.25" customHeight="1">
      <c r="A48" s="387" t="s">
        <v>2498</v>
      </c>
      <c r="B48" s="387"/>
      <c r="C48" s="387"/>
      <c r="D48" s="387"/>
      <c r="E48" s="387"/>
      <c r="F48" s="387"/>
      <c r="G48" s="15">
        <v>167</v>
      </c>
      <c r="H48" s="16"/>
      <c r="I48" s="66">
        <f>SUM(I49:I55)</f>
        <v>344912</v>
      </c>
      <c r="J48" s="66">
        <f>SUM(J49:J55)</f>
        <v>516034</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344120</v>
      </c>
      <c r="J51" s="67">
        <v>217381</v>
      </c>
    </row>
    <row r="52" spans="1:10" s="2" customFormat="1" ht="14.25" customHeight="1">
      <c r="A52" s="413" t="s">
        <v>1090</v>
      </c>
      <c r="B52" s="413"/>
      <c r="C52" s="413"/>
      <c r="D52" s="413"/>
      <c r="E52" s="413"/>
      <c r="F52" s="413"/>
      <c r="G52" s="15">
        <v>171</v>
      </c>
      <c r="H52" s="16"/>
      <c r="I52" s="67">
        <v>792</v>
      </c>
      <c r="J52" s="67">
        <v>653</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v>0</v>
      </c>
      <c r="J55" s="67">
        <v>298000</v>
      </c>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38419275</v>
      </c>
      <c r="J60" s="66">
        <f>J8+J37+J56+J57</f>
        <v>47575187</v>
      </c>
    </row>
    <row r="61" spans="1:10" s="2" customFormat="1" ht="14.25" customHeight="1">
      <c r="A61" s="387" t="s">
        <v>2500</v>
      </c>
      <c r="B61" s="387"/>
      <c r="C61" s="387"/>
      <c r="D61" s="387"/>
      <c r="E61" s="387"/>
      <c r="F61" s="387"/>
      <c r="G61" s="15">
        <v>180</v>
      </c>
      <c r="H61" s="16"/>
      <c r="I61" s="66">
        <f>I14+I48+I58+I59</f>
        <v>38415100</v>
      </c>
      <c r="J61" s="66">
        <f>J14+J48+J58+J59</f>
        <v>43714378</v>
      </c>
    </row>
    <row r="62" spans="1:12" s="2" customFormat="1" ht="14.25" customHeight="1">
      <c r="A62" s="387" t="s">
        <v>2501</v>
      </c>
      <c r="B62" s="387"/>
      <c r="C62" s="387"/>
      <c r="D62" s="387"/>
      <c r="E62" s="387"/>
      <c r="F62" s="387"/>
      <c r="G62" s="15">
        <v>181</v>
      </c>
      <c r="H62" s="16"/>
      <c r="I62" s="66">
        <f>I60-I61</f>
        <v>4175</v>
      </c>
      <c r="J62" s="66">
        <f>J60-J61</f>
        <v>3860809</v>
      </c>
      <c r="L62" s="2" t="s">
        <v>1209</v>
      </c>
    </row>
    <row r="63" spans="1:10" s="2" customFormat="1" ht="14.25" customHeight="1">
      <c r="A63" s="413" t="s">
        <v>2502</v>
      </c>
      <c r="B63" s="413"/>
      <c r="C63" s="413"/>
      <c r="D63" s="413"/>
      <c r="E63" s="413"/>
      <c r="F63" s="413"/>
      <c r="G63" s="15">
        <v>182</v>
      </c>
      <c r="H63" s="16"/>
      <c r="I63" s="66">
        <f>IF(I60&gt;I61,I60-I61,0)</f>
        <v>4175</v>
      </c>
      <c r="J63" s="66">
        <f>IF(J60&gt;J61,J60-J61,0)</f>
        <v>3860809</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0</v>
      </c>
      <c r="J65" s="67">
        <v>695164</v>
      </c>
      <c r="L65" s="2" t="s">
        <v>1209</v>
      </c>
    </row>
    <row r="66" spans="1:12" s="2" customFormat="1" ht="14.25" customHeight="1">
      <c r="A66" s="387" t="s">
        <v>2504</v>
      </c>
      <c r="B66" s="387"/>
      <c r="C66" s="387"/>
      <c r="D66" s="387"/>
      <c r="E66" s="387"/>
      <c r="F66" s="387"/>
      <c r="G66" s="15">
        <v>185</v>
      </c>
      <c r="H66" s="16"/>
      <c r="I66" s="66">
        <f>I62-I65</f>
        <v>4175</v>
      </c>
      <c r="J66" s="66">
        <f>J62-J65</f>
        <v>3165645</v>
      </c>
      <c r="L66" s="2" t="s">
        <v>1209</v>
      </c>
    </row>
    <row r="67" spans="1:10" s="2" customFormat="1" ht="14.25" customHeight="1">
      <c r="A67" s="413" t="s">
        <v>2505</v>
      </c>
      <c r="B67" s="413"/>
      <c r="C67" s="413"/>
      <c r="D67" s="413"/>
      <c r="E67" s="413"/>
      <c r="F67" s="413"/>
      <c r="G67" s="15">
        <v>186</v>
      </c>
      <c r="H67" s="16"/>
      <c r="I67" s="66">
        <f>IF(I66&gt;0,I66,0)</f>
        <v>4175</v>
      </c>
      <c r="J67" s="66">
        <f>IF(J66&gt;0,J66,0)</f>
        <v>3165645</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14" t="s">
        <v>1506</v>
      </c>
      <c r="B88" s="414"/>
      <c r="C88" s="414"/>
      <c r="D88" s="414"/>
      <c r="E88" s="414"/>
      <c r="F88" s="414"/>
      <c r="G88" s="415"/>
      <c r="H88" s="415"/>
      <c r="I88" s="415"/>
      <c r="J88" s="415"/>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J37" sqref="J37"/>
      <selection pane="bottomLeft" activeCell="I79" sqref="I79:J8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04155352667; PONIKVE EKO OTOK KRK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1.25">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85" zoomScaleNormal="85" zoomScalePageLayoutView="0" workbookViewId="0" topLeftCell="A1">
      <pane ySplit="1" topLeftCell="A2" activePane="bottomLeft" state="frozen"/>
      <selection pane="topLeft" activeCell="C112" sqref="C112:J112"/>
      <selection pane="bottomLeft" activeCell="C112" sqref="C112:J112"/>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1</v>
      </c>
      <c r="R1" s="69" t="s">
        <v>792</v>
      </c>
    </row>
    <row r="2" spans="1:18" s="2" customFormat="1" ht="19.5" customHeight="1">
      <c r="A2" s="447" t="s">
        <v>1102</v>
      </c>
      <c r="B2" s="448"/>
      <c r="C2" s="448"/>
      <c r="D2" s="448"/>
      <c r="E2" s="448"/>
      <c r="F2" s="448"/>
      <c r="G2" s="448"/>
      <c r="H2" s="448"/>
      <c r="I2" s="453"/>
      <c r="J2" s="389" t="s">
        <v>1212</v>
      </c>
      <c r="Q2" s="70">
        <f>IF(OR(MIN(I8:I60)&lt;0,MAX(I8:I60)&gt;0),1,0)</f>
        <v>1</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1</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04155352667; PONIKVE EKO OTOK KRK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v>4175</v>
      </c>
      <c r="J9" s="138">
        <v>3860809</v>
      </c>
    </row>
    <row r="10" spans="1:10" s="2" customFormat="1" ht="13.5" customHeight="1">
      <c r="A10" s="413" t="s">
        <v>71</v>
      </c>
      <c r="B10" s="413"/>
      <c r="C10" s="413"/>
      <c r="D10" s="413"/>
      <c r="E10" s="413"/>
      <c r="F10" s="413"/>
      <c r="G10" s="15">
        <v>2</v>
      </c>
      <c r="H10" s="19"/>
      <c r="I10" s="121">
        <f>SUM(I11:I18)</f>
        <v>8121653</v>
      </c>
      <c r="J10" s="121">
        <f>SUM(J11:J18)</f>
        <v>6737168</v>
      </c>
    </row>
    <row r="11" spans="1:12" s="2" customFormat="1" ht="13.5" customHeight="1">
      <c r="A11" s="433" t="s">
        <v>1543</v>
      </c>
      <c r="B11" s="433"/>
      <c r="C11" s="433"/>
      <c r="D11" s="433"/>
      <c r="E11" s="433"/>
      <c r="F11" s="433"/>
      <c r="G11" s="15">
        <v>3</v>
      </c>
      <c r="H11" s="19"/>
      <c r="I11" s="122">
        <v>7742255</v>
      </c>
      <c r="J11" s="122">
        <v>7076926</v>
      </c>
      <c r="L11" s="2" t="s">
        <v>2525</v>
      </c>
    </row>
    <row r="12" spans="1:10" s="2" customFormat="1" ht="24.75" customHeight="1">
      <c r="A12" s="433" t="s">
        <v>2441</v>
      </c>
      <c r="B12" s="433"/>
      <c r="C12" s="433"/>
      <c r="D12" s="433"/>
      <c r="E12" s="433"/>
      <c r="F12" s="433"/>
      <c r="G12" s="15">
        <v>4</v>
      </c>
      <c r="H12" s="19"/>
      <c r="I12" s="122">
        <v>141262</v>
      </c>
      <c r="J12" s="122">
        <v>164932</v>
      </c>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v>-106774</v>
      </c>
      <c r="J14" s="122">
        <v>-722724</v>
      </c>
      <c r="L14" s="2" t="s">
        <v>1209</v>
      </c>
    </row>
    <row r="15" spans="1:12" s="2" customFormat="1" ht="13.5" customHeight="1">
      <c r="A15" s="433" t="s">
        <v>1545</v>
      </c>
      <c r="B15" s="433"/>
      <c r="C15" s="433"/>
      <c r="D15" s="433"/>
      <c r="E15" s="433"/>
      <c r="F15" s="433"/>
      <c r="G15" s="15">
        <v>7</v>
      </c>
      <c r="H15" s="19"/>
      <c r="I15" s="122">
        <v>344119</v>
      </c>
      <c r="J15" s="122">
        <v>217381</v>
      </c>
      <c r="L15" s="2" t="s">
        <v>2525</v>
      </c>
    </row>
    <row r="16" spans="1:10" s="2" customFormat="1" ht="13.5" customHeight="1">
      <c r="A16" s="433" t="s">
        <v>1546</v>
      </c>
      <c r="B16" s="433"/>
      <c r="C16" s="433"/>
      <c r="D16" s="433"/>
      <c r="E16" s="433"/>
      <c r="F16" s="433"/>
      <c r="G16" s="15">
        <v>8</v>
      </c>
      <c r="H16" s="19"/>
      <c r="I16" s="122"/>
      <c r="J16" s="122">
        <v>0</v>
      </c>
    </row>
    <row r="17" spans="1:10" s="2" customFormat="1" ht="13.5" customHeight="1">
      <c r="A17" s="433" t="s">
        <v>1547</v>
      </c>
      <c r="B17" s="433"/>
      <c r="C17" s="433"/>
      <c r="D17" s="433"/>
      <c r="E17" s="433"/>
      <c r="F17" s="433"/>
      <c r="G17" s="15">
        <v>9</v>
      </c>
      <c r="H17" s="19"/>
      <c r="I17" s="122">
        <v>791</v>
      </c>
      <c r="J17" s="122">
        <v>653</v>
      </c>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8125828</v>
      </c>
      <c r="J19" s="121">
        <f>J9+J10</f>
        <v>10597977</v>
      </c>
      <c r="N19" s="2">
        <f>IF(MIN(NT_I!I11:J11,NT_I!I15:J15,NT_I!I30:J36,NT_I!I59:J60)&lt;0,1,0)</f>
        <v>0</v>
      </c>
    </row>
    <row r="20" spans="1:10" s="2" customFormat="1" ht="13.5" customHeight="1">
      <c r="A20" s="413" t="s">
        <v>21</v>
      </c>
      <c r="B20" s="413"/>
      <c r="C20" s="413"/>
      <c r="D20" s="413"/>
      <c r="E20" s="413"/>
      <c r="F20" s="413"/>
      <c r="G20" s="15">
        <v>12</v>
      </c>
      <c r="H20" s="19"/>
      <c r="I20" s="121">
        <f>SUM(I21:I24)</f>
        <v>-4708903</v>
      </c>
      <c r="J20" s="121">
        <f>SUM(J21:J24)</f>
        <v>-5217482</v>
      </c>
    </row>
    <row r="21" spans="1:10" s="2" customFormat="1" ht="13.5" customHeight="1">
      <c r="A21" s="433" t="s">
        <v>2353</v>
      </c>
      <c r="B21" s="433"/>
      <c r="C21" s="433"/>
      <c r="D21" s="433"/>
      <c r="E21" s="433"/>
      <c r="F21" s="433"/>
      <c r="G21" s="15">
        <v>13</v>
      </c>
      <c r="H21" s="19"/>
      <c r="I21" s="122">
        <v>-2009680</v>
      </c>
      <c r="J21" s="122">
        <v>2142</v>
      </c>
    </row>
    <row r="22" spans="1:10" s="2" customFormat="1" ht="13.5" customHeight="1">
      <c r="A22" s="433" t="s">
        <v>2354</v>
      </c>
      <c r="B22" s="433"/>
      <c r="C22" s="433"/>
      <c r="D22" s="433"/>
      <c r="E22" s="433"/>
      <c r="F22" s="433"/>
      <c r="G22" s="15">
        <v>14</v>
      </c>
      <c r="H22" s="19"/>
      <c r="I22" s="122">
        <v>-1686490</v>
      </c>
      <c r="J22" s="122">
        <v>-6067980</v>
      </c>
    </row>
    <row r="23" spans="1:10" s="2" customFormat="1" ht="13.5" customHeight="1">
      <c r="A23" s="433" t="s">
        <v>2355</v>
      </c>
      <c r="B23" s="433"/>
      <c r="C23" s="433"/>
      <c r="D23" s="433"/>
      <c r="E23" s="433"/>
      <c r="F23" s="433"/>
      <c r="G23" s="15">
        <v>15</v>
      </c>
      <c r="H23" s="19"/>
      <c r="I23" s="122">
        <v>-261324</v>
      </c>
      <c r="J23" s="122">
        <v>542741</v>
      </c>
    </row>
    <row r="24" spans="1:10" s="2" customFormat="1" ht="13.5" customHeight="1">
      <c r="A24" s="433" t="s">
        <v>2356</v>
      </c>
      <c r="B24" s="433"/>
      <c r="C24" s="433"/>
      <c r="D24" s="433"/>
      <c r="E24" s="433"/>
      <c r="F24" s="433"/>
      <c r="G24" s="15">
        <v>16</v>
      </c>
      <c r="H24" s="19"/>
      <c r="I24" s="122">
        <v>-751409</v>
      </c>
      <c r="J24" s="122">
        <v>305615</v>
      </c>
    </row>
    <row r="25" spans="1:10" s="2" customFormat="1" ht="13.5" customHeight="1">
      <c r="A25" s="408" t="s">
        <v>2936</v>
      </c>
      <c r="B25" s="408"/>
      <c r="C25" s="408"/>
      <c r="D25" s="408"/>
      <c r="E25" s="408"/>
      <c r="F25" s="408"/>
      <c r="G25" s="15">
        <v>17</v>
      </c>
      <c r="H25" s="19"/>
      <c r="I25" s="121">
        <f>I19+I20</f>
        <v>3416925</v>
      </c>
      <c r="J25" s="121">
        <f>J19+J20</f>
        <v>5380495</v>
      </c>
    </row>
    <row r="26" spans="1:12" s="2" customFormat="1" ht="13.5" customHeight="1">
      <c r="A26" s="413" t="s">
        <v>1787</v>
      </c>
      <c r="B26" s="413"/>
      <c r="C26" s="413"/>
      <c r="D26" s="413"/>
      <c r="E26" s="413"/>
      <c r="F26" s="413"/>
      <c r="G26" s="15">
        <v>18</v>
      </c>
      <c r="H26" s="19"/>
      <c r="I26" s="122">
        <v>-344119</v>
      </c>
      <c r="J26" s="122">
        <v>-217381</v>
      </c>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3072806</v>
      </c>
      <c r="J28" s="123">
        <f>SUM(J25:J27)</f>
        <v>5163114</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v>4244649</v>
      </c>
      <c r="J30" s="90">
        <v>1198321</v>
      </c>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4244649</v>
      </c>
      <c r="J36" s="82">
        <f>SUM(J30:J35)</f>
        <v>1198321</v>
      </c>
      <c r="L36" s="2" t="s">
        <v>2525</v>
      </c>
    </row>
    <row r="37" spans="1:12" s="2" customFormat="1" ht="13.5" customHeight="1">
      <c r="A37" s="413" t="s">
        <v>66</v>
      </c>
      <c r="B37" s="413"/>
      <c r="C37" s="413"/>
      <c r="D37" s="413"/>
      <c r="E37" s="413"/>
      <c r="F37" s="413"/>
      <c r="G37" s="15">
        <v>28</v>
      </c>
      <c r="H37" s="19"/>
      <c r="I37" s="73">
        <v>-5334814</v>
      </c>
      <c r="J37" s="73">
        <v>-4339116</v>
      </c>
      <c r="L37" s="2" t="s">
        <v>1209</v>
      </c>
    </row>
    <row r="38" spans="1:12" s="2" customFormat="1" ht="13.5" customHeight="1">
      <c r="A38" s="413" t="s">
        <v>67</v>
      </c>
      <c r="B38" s="413"/>
      <c r="C38" s="413"/>
      <c r="D38" s="413"/>
      <c r="E38" s="413"/>
      <c r="F38" s="413"/>
      <c r="G38" s="15">
        <v>29</v>
      </c>
      <c r="H38" s="19"/>
      <c r="I38" s="73">
        <v>-200000</v>
      </c>
      <c r="J38" s="73">
        <v>0</v>
      </c>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-5534814</v>
      </c>
      <c r="J42" s="82">
        <f>SUM(J37:J41)</f>
        <v>-4339116</v>
      </c>
      <c r="L42" s="2" t="s">
        <v>1209</v>
      </c>
    </row>
    <row r="43" spans="1:10" s="2" customFormat="1" ht="13.5" customHeight="1">
      <c r="A43" s="459" t="s">
        <v>2923</v>
      </c>
      <c r="B43" s="459"/>
      <c r="C43" s="459"/>
      <c r="D43" s="459"/>
      <c r="E43" s="459"/>
      <c r="F43" s="459"/>
      <c r="G43" s="17">
        <v>34</v>
      </c>
      <c r="H43" s="20"/>
      <c r="I43" s="83">
        <f>I36+I42</f>
        <v>-1290165</v>
      </c>
      <c r="J43" s="83">
        <f>J36+J42</f>
        <v>-3140795</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v>838904</v>
      </c>
      <c r="J47" s="73">
        <v>2500000</v>
      </c>
      <c r="L47" s="2" t="s">
        <v>2525</v>
      </c>
    </row>
    <row r="48" spans="1:12" s="2" customFormat="1" ht="13.5" customHeight="1">
      <c r="A48" s="413" t="s">
        <v>2814</v>
      </c>
      <c r="B48" s="413"/>
      <c r="C48" s="413"/>
      <c r="D48" s="413"/>
      <c r="E48" s="413"/>
      <c r="F48" s="413"/>
      <c r="G48" s="15">
        <v>38</v>
      </c>
      <c r="H48" s="19"/>
      <c r="I48" s="73">
        <v>207453</v>
      </c>
      <c r="J48" s="73">
        <v>780192</v>
      </c>
      <c r="L48" s="2" t="s">
        <v>2525</v>
      </c>
    </row>
    <row r="49" spans="1:12" s="2" customFormat="1" ht="13.5" customHeight="1">
      <c r="A49" s="408" t="s">
        <v>2934</v>
      </c>
      <c r="B49" s="408"/>
      <c r="C49" s="408"/>
      <c r="D49" s="408"/>
      <c r="E49" s="408"/>
      <c r="F49" s="408"/>
      <c r="G49" s="15">
        <v>39</v>
      </c>
      <c r="H49" s="19"/>
      <c r="I49" s="82">
        <f>SUM(I45:I48)</f>
        <v>1046357</v>
      </c>
      <c r="J49" s="82">
        <f>SUM(J45:J48)</f>
        <v>3280192</v>
      </c>
      <c r="L49" s="2" t="s">
        <v>2525</v>
      </c>
    </row>
    <row r="50" spans="1:12" s="2" customFormat="1" ht="24.75" customHeight="1">
      <c r="A50" s="413" t="s">
        <v>2562</v>
      </c>
      <c r="B50" s="413"/>
      <c r="C50" s="413"/>
      <c r="D50" s="413"/>
      <c r="E50" s="413"/>
      <c r="F50" s="413"/>
      <c r="G50" s="15">
        <v>40</v>
      </c>
      <c r="H50" s="19"/>
      <c r="I50" s="73">
        <v>-630000</v>
      </c>
      <c r="J50" s="73">
        <v>-630000</v>
      </c>
      <c r="L50" s="2" t="s">
        <v>1209</v>
      </c>
    </row>
    <row r="51" spans="1:12" s="2" customFormat="1" ht="13.5" customHeight="1">
      <c r="A51" s="413" t="s">
        <v>2229</v>
      </c>
      <c r="B51" s="413"/>
      <c r="C51" s="413"/>
      <c r="D51" s="413"/>
      <c r="E51" s="413"/>
      <c r="F51" s="413"/>
      <c r="G51" s="15">
        <v>41</v>
      </c>
      <c r="H51" s="19"/>
      <c r="I51" s="73"/>
      <c r="J51" s="73">
        <v>0</v>
      </c>
      <c r="L51" s="2" t="s">
        <v>1209</v>
      </c>
    </row>
    <row r="52" spans="1:12" s="2" customFormat="1" ht="13.5" customHeight="1">
      <c r="A52" s="413" t="s">
        <v>2230</v>
      </c>
      <c r="B52" s="413"/>
      <c r="C52" s="413"/>
      <c r="D52" s="413"/>
      <c r="E52" s="413"/>
      <c r="F52" s="413"/>
      <c r="G52" s="15">
        <v>42</v>
      </c>
      <c r="H52" s="19"/>
      <c r="I52" s="73">
        <v>-1821004</v>
      </c>
      <c r="J52" s="73">
        <v>-2348015</v>
      </c>
      <c r="L52" s="2" t="s">
        <v>1209</v>
      </c>
    </row>
    <row r="53" spans="1:12" s="2" customFormat="1" ht="13.5" customHeight="1">
      <c r="A53" s="413" t="s">
        <v>2563</v>
      </c>
      <c r="B53" s="413"/>
      <c r="C53" s="413"/>
      <c r="D53" s="413"/>
      <c r="E53" s="413"/>
      <c r="F53" s="413"/>
      <c r="G53" s="15">
        <v>43</v>
      </c>
      <c r="H53" s="19"/>
      <c r="I53" s="73"/>
      <c r="J53" s="73">
        <v>0</v>
      </c>
      <c r="L53" s="2" t="s">
        <v>1209</v>
      </c>
    </row>
    <row r="54" spans="1:12" s="2" customFormat="1" ht="13.5" customHeight="1">
      <c r="A54" s="413" t="s">
        <v>2443</v>
      </c>
      <c r="B54" s="413"/>
      <c r="C54" s="413"/>
      <c r="D54" s="413"/>
      <c r="E54" s="413"/>
      <c r="F54" s="413"/>
      <c r="G54" s="15">
        <v>44</v>
      </c>
      <c r="H54" s="19"/>
      <c r="I54" s="73">
        <v>-57000</v>
      </c>
      <c r="J54" s="73">
        <v>-306062</v>
      </c>
      <c r="L54" s="2" t="s">
        <v>1209</v>
      </c>
    </row>
    <row r="55" spans="1:12" s="2" customFormat="1" ht="13.5" customHeight="1">
      <c r="A55" s="408" t="s">
        <v>2444</v>
      </c>
      <c r="B55" s="408"/>
      <c r="C55" s="408"/>
      <c r="D55" s="408"/>
      <c r="E55" s="408"/>
      <c r="F55" s="408"/>
      <c r="G55" s="15">
        <v>45</v>
      </c>
      <c r="H55" s="19"/>
      <c r="I55" s="82">
        <f>SUM(I50:I54)</f>
        <v>-2508004</v>
      </c>
      <c r="J55" s="82">
        <f>SUM(J50:J54)</f>
        <v>-3284077</v>
      </c>
      <c r="L55" s="2" t="s">
        <v>1209</v>
      </c>
    </row>
    <row r="56" spans="1:10" s="2" customFormat="1" ht="13.5" customHeight="1">
      <c r="A56" s="410" t="s">
        <v>209</v>
      </c>
      <c r="B56" s="410"/>
      <c r="C56" s="410"/>
      <c r="D56" s="410"/>
      <c r="E56" s="410"/>
      <c r="F56" s="410"/>
      <c r="G56" s="15">
        <v>46</v>
      </c>
      <c r="H56" s="19"/>
      <c r="I56" s="82">
        <f>I49+I55</f>
        <v>-1461647</v>
      </c>
      <c r="J56" s="82">
        <f>J49+J55</f>
        <v>-3885</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320994</v>
      </c>
      <c r="J58" s="82">
        <f>J28+J43+J56+J57</f>
        <v>2018434</v>
      </c>
    </row>
    <row r="59" spans="1:12" s="2" customFormat="1" ht="13.5" customHeight="1">
      <c r="A59" s="410" t="s">
        <v>2810</v>
      </c>
      <c r="B59" s="410"/>
      <c r="C59" s="410"/>
      <c r="D59" s="410"/>
      <c r="E59" s="410"/>
      <c r="F59" s="410"/>
      <c r="G59" s="15">
        <v>49</v>
      </c>
      <c r="H59" s="19"/>
      <c r="I59" s="73">
        <v>10296596</v>
      </c>
      <c r="J59" s="73">
        <v>10617590</v>
      </c>
      <c r="L59" s="2" t="s">
        <v>2525</v>
      </c>
    </row>
    <row r="60" spans="1:18" s="2" customFormat="1" ht="13.5" customHeight="1">
      <c r="A60" s="459" t="s">
        <v>2560</v>
      </c>
      <c r="B60" s="459"/>
      <c r="C60" s="459"/>
      <c r="D60" s="459"/>
      <c r="E60" s="459"/>
      <c r="F60" s="459"/>
      <c r="G60" s="17">
        <v>50</v>
      </c>
      <c r="H60" s="20"/>
      <c r="I60" s="83">
        <f>I59+I58</f>
        <v>10617590</v>
      </c>
      <c r="J60" s="83">
        <f>J59+J58</f>
        <v>12636024</v>
      </c>
      <c r="L60" s="2" t="s">
        <v>2525</v>
      </c>
      <c r="Q60" s="78"/>
      <c r="R60" s="78"/>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35"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04155352667; PONIKVE EKO OTOK KRK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80" zoomScaleNormal="80" zoomScalePageLayoutView="0" workbookViewId="0" topLeftCell="A1">
      <pane ySplit="1" topLeftCell="A2" activePane="bottomLeft" state="frozen"/>
      <selection pane="topLeft" activeCell="C112" sqref="C112:J112"/>
      <selection pane="bottomLeft" activeCell="C112" sqref="C112:J112"/>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1</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04155352667; PONIKVE EKO OTOK KRK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v>40908400</v>
      </c>
      <c r="J10" s="21">
        <v>26457469</v>
      </c>
      <c r="K10" s="21"/>
      <c r="L10" s="21"/>
      <c r="M10" s="21"/>
      <c r="N10" s="21"/>
      <c r="O10" s="21"/>
      <c r="P10" s="21"/>
      <c r="Q10" s="21"/>
      <c r="R10" s="21"/>
      <c r="S10" s="21"/>
      <c r="T10" s="21"/>
      <c r="U10" s="21"/>
      <c r="V10" s="21">
        <v>2207319</v>
      </c>
      <c r="W10" s="21">
        <v>-317485</v>
      </c>
      <c r="X10" s="202">
        <f>SUM(I10:L10)-M10+SUM(N10:W10)</f>
        <v>69255703</v>
      </c>
      <c r="Y10" s="21"/>
      <c r="Z10" s="202">
        <f>Y10+X10</f>
        <v>69255703</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40908400</v>
      </c>
      <c r="J13" s="202">
        <f aca="true" t="shared" si="2" ref="J13:W13">SUM(J10:J12)</f>
        <v>26457469</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2207319</v>
      </c>
      <c r="W13" s="202">
        <f t="shared" si="2"/>
        <v>-317485</v>
      </c>
      <c r="X13" s="202">
        <f t="shared" si="0"/>
        <v>69255703</v>
      </c>
      <c r="Y13" s="202">
        <f>SUM(Y10:Y12)</f>
        <v>0</v>
      </c>
      <c r="Z13" s="202">
        <f t="shared" si="1"/>
        <v>69255703</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v>4175</v>
      </c>
      <c r="X14" s="202">
        <f t="shared" si="0"/>
        <v>4175</v>
      </c>
      <c r="Y14" s="21"/>
      <c r="Z14" s="202">
        <f t="shared" si="1"/>
        <v>4175</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v>2221312</v>
      </c>
      <c r="K28" s="21"/>
      <c r="L28" s="21"/>
      <c r="M28" s="21"/>
      <c r="N28" s="21"/>
      <c r="O28" s="21"/>
      <c r="P28" s="21"/>
      <c r="Q28" s="21"/>
      <c r="R28" s="21"/>
      <c r="S28" s="21"/>
      <c r="T28" s="21"/>
      <c r="U28" s="21"/>
      <c r="V28" s="21"/>
      <c r="W28" s="21"/>
      <c r="X28" s="202">
        <f>SUM(I28:L28)-M28+SUM(N28:W28)</f>
        <v>2221312</v>
      </c>
      <c r="Y28" s="21"/>
      <c r="Z28" s="202">
        <f>Y28+X28</f>
        <v>2221312</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v>-317485</v>
      </c>
      <c r="W31" s="21">
        <v>317485</v>
      </c>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40908400</v>
      </c>
      <c r="J33" s="201">
        <f aca="true" t="shared" si="3" ref="J33:W33">SUM(J13:J32)</f>
        <v>28678781</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1889834</v>
      </c>
      <c r="W33" s="201">
        <f t="shared" si="3"/>
        <v>4175</v>
      </c>
      <c r="X33" s="201">
        <f t="shared" si="0"/>
        <v>71481190</v>
      </c>
      <c r="Y33" s="201">
        <f>SUM(Y13:Y32)</f>
        <v>0</v>
      </c>
      <c r="Z33" s="201">
        <f t="shared" si="1"/>
        <v>71481190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v>40908400</v>
      </c>
      <c r="J39" s="21">
        <v>28678781</v>
      </c>
      <c r="K39" s="21">
        <v>0</v>
      </c>
      <c r="L39" s="21">
        <v>0</v>
      </c>
      <c r="M39" s="21">
        <v>0</v>
      </c>
      <c r="N39" s="21">
        <v>0</v>
      </c>
      <c r="O39" s="21">
        <v>0</v>
      </c>
      <c r="P39" s="21">
        <v>0</v>
      </c>
      <c r="Q39" s="21">
        <v>0</v>
      </c>
      <c r="R39" s="21">
        <v>0</v>
      </c>
      <c r="S39" s="21">
        <v>0</v>
      </c>
      <c r="T39" s="21">
        <v>0</v>
      </c>
      <c r="U39" s="21">
        <v>0</v>
      </c>
      <c r="V39" s="21">
        <v>1889834</v>
      </c>
      <c r="W39" s="21">
        <v>4175</v>
      </c>
      <c r="X39" s="202">
        <f aca="true" t="shared" si="10" ref="X39:X62">SUM(I39:L39)-M39+SUM(N39:W39)</f>
        <v>71481190</v>
      </c>
      <c r="Y39" s="21">
        <v>0</v>
      </c>
      <c r="Z39" s="202">
        <f t="shared" si="1"/>
        <v>71481190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40908400</v>
      </c>
      <c r="J42" s="202">
        <f t="shared" si="11"/>
        <v>28678781</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1889834</v>
      </c>
      <c r="W42" s="202">
        <f t="shared" si="11"/>
        <v>4175</v>
      </c>
      <c r="X42" s="202">
        <f t="shared" si="10"/>
        <v>71481190</v>
      </c>
      <c r="Y42" s="202">
        <f>SUM(Y39:Y41)</f>
        <v>0</v>
      </c>
      <c r="Z42" s="202">
        <f>Y42+X42</f>
        <v>71481190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v>3165645</v>
      </c>
      <c r="X43" s="202">
        <f t="shared" si="10"/>
        <v>3165645</v>
      </c>
      <c r="Y43" s="21"/>
      <c r="Z43" s="202">
        <f t="shared" si="1"/>
        <v>3165645</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v>562740</v>
      </c>
      <c r="K51" s="21"/>
      <c r="L51" s="21"/>
      <c r="M51" s="21"/>
      <c r="N51" s="21"/>
      <c r="O51" s="21"/>
      <c r="P51" s="21"/>
      <c r="Q51" s="21"/>
      <c r="R51" s="21"/>
      <c r="S51" s="21"/>
      <c r="T51" s="21"/>
      <c r="U51" s="21"/>
      <c r="V51" s="21"/>
      <c r="W51" s="21"/>
      <c r="X51" s="202">
        <f t="shared" si="10"/>
        <v>562740</v>
      </c>
      <c r="Y51" s="21"/>
      <c r="Z51" s="202">
        <f t="shared" si="1"/>
        <v>562740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v>-5814000</v>
      </c>
      <c r="J59" s="21">
        <v>-21903199</v>
      </c>
      <c r="K59" s="21"/>
      <c r="L59" s="21"/>
      <c r="M59" s="21"/>
      <c r="N59" s="21"/>
      <c r="O59" s="21"/>
      <c r="P59" s="21"/>
      <c r="Q59" s="21"/>
      <c r="R59" s="21"/>
      <c r="S59" s="21"/>
      <c r="T59" s="21"/>
      <c r="U59" s="21"/>
      <c r="V59" s="21"/>
      <c r="W59" s="21"/>
      <c r="X59" s="202">
        <f t="shared" si="10"/>
        <v>-27717199</v>
      </c>
      <c r="Y59" s="21"/>
      <c r="Z59" s="202">
        <f t="shared" si="1"/>
        <v>-27717199</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v>4175</v>
      </c>
      <c r="W60" s="21">
        <v>-4175</v>
      </c>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35094400</v>
      </c>
      <c r="J62" s="201">
        <f t="shared" si="12"/>
        <v>7338322</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1894009</v>
      </c>
      <c r="W62" s="201">
        <f t="shared" si="12"/>
        <v>3165645</v>
      </c>
      <c r="X62" s="201">
        <f t="shared" si="10"/>
        <v>47492376</v>
      </c>
      <c r="Y62" s="201">
        <f>SUM(Y42:Y61)</f>
        <v>0</v>
      </c>
      <c r="Z62" s="201">
        <f t="shared" si="1"/>
        <v>47492376</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Zvjezdana Ponoš</cp:lastModifiedBy>
  <cp:lastPrinted>2023-06-01T07:39:02Z</cp:lastPrinted>
  <dcterms:created xsi:type="dcterms:W3CDTF">2008-10-17T11:51:54Z</dcterms:created>
  <dcterms:modified xsi:type="dcterms:W3CDTF">2023-06-28T08:40:39Z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