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3356"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<sst xmlns="http://schemas.openxmlformats.org/spreadsheetml/2006/main" count="3663" uniqueCount="2965">
  <si>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</si>
  <si>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</si>
  <si>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</si>
  <si>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</si>
  <si>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</si>
  <si>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</si>
  <si>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</si>
  <si>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</si>
  <si>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</si>
  <si>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</si>
  <si>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</si>
  <si>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</si>
  <si>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</si>
  <si>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</si>
  <si>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</si>
  <si>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</si>
  <si>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</si>
  <si>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</si>
  <si>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</si>
  <si>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</si>
  <si>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</si>
  <si>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</si>
  <si>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</si>
  <si>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</si>
  <si>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</si>
  <si>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</si>
  <si>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</si>
  <si>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</si>
  <si>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</si>
  <si>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</si>
  <si>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</si>
  <si>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</si>
  <si>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</si>
  <si>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</si>
  <si>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</si>
  <si>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</si>
  <si>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</si>
  <si>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</si>
  <si>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</si>
  <si>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</si>
  <si>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</si>
  <si>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</si>
  <si>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</si>
  <si>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</si>
  <si>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</si>
  <si>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</si>
  <si>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</si>
  <si>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</si>
  <si>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</si>
  <si>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</si>
  <si>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</si>
  <si>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</si>
  <si>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</si>
  <si>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</si>
  <si>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</si>
  <si>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</si>
  <si>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</si>
  <si>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</si>
  <si>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</si>
  <si>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</si>
  <si>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</si>
  <si>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</si>
  <si>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</si>
  <si>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</si>
  <si>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</si>
  <si>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</si>
  <si>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</si>
  <si>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</si>
  <si>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</si>
  <si>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</si>
  <si>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</si>
  <si>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</si>
  <si>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</si>
  <si>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</si>
  <si>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</si>
  <si>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</si>
  <si>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</si>
  <si>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</si>
  <si>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</si>
  <si>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</si>
  <si>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</si>
  <si>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</si>
  <si>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</si>
  <si>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</si>
  <si>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</si>
  <si>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</si>
  <si>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</si>
  <si>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</si>
  <si>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</si>
  <si>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</si>
  <si>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</si>
  <si>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</si>
  <si>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</si>
  <si>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</si>
  <si>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</si>
  <si>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</si>
  <si>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</si>
  <si>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</si>
  <si>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</si>
  <si>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</si>
  <si>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</si>
  <si>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</si>
  <si>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</si>
  <si>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</si>
  <si>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</si>
  <si>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</si>
  <si>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</si>
  <si>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</si>
  <si>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</si>
  <si>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</si>
  <si>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</si>
  <si>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</si>
  <si>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</si>
  <si>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</si>
  <si>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</si>
  <si>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</si>
  <si>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</si>
  <si>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</si>
  <si>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</si>
  <si>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</si>
  <si>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</si>
  <si>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</si>
  <si>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</si>
  <si>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</si>
  <si>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</si>
  <si>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</si>
  <si>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</si>
  <si>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</si>
  <si>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</si>
  <si>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</si>
  <si>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</si>
  <si>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</si>
  <si>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</si>
  <si>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</si>
  <si>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</si>
  <si>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</si>
  <si>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</si>
  <si>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</si>
  <si>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</si>
  <si>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</si>
  <si>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</si>
  <si>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</si>
  <si>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</si>
  <si>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</si>
  <si>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</si>
  <si>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</si>
  <si>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</si>
  <si>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</si>
  <si>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</si>
  <si>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</si>
  <si>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</si>
  <si>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</si>
  <si>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</si>
  <si>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</si>
  <si>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</si>
  <si>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</si>
  <si>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</si>
  <si>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</si>
  <si>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</si>
  <si>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</si>
  <si>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</si>
  <si>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</si>
  <si>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</si>
  <si>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</si>
  <si>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</si>
  <si>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</si>
  <si>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</si>
  <si>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</si>
  <si>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</si>
  <si>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</si>
  <si>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</si>
  <si>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</si>
  <si>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</si>
  <si>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</si>
  <si>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</si>
  <si>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</si>
  <si>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</si>
  <si>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</si>
  <si>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</si>
  <si>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</si>
  <si>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</si>
  <si>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</si>
  <si>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</si>
  <si>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</si>
  <si>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</si>
  <si>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</si>
  <si>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</si>
  <si>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</si>
  <si>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</si>
  <si>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</si>
  <si>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</si>
  <si>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</si>
  <si>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</si>
  <si>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</si>
  <si>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</si>
  <si>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</si>
  <si>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</si>
  <si>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</si>
  <si>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</si>
  <si>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</si>
  <si>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</si>
  <si>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</si>
  <si>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</si>
  <si>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</si>
  <si>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</si>
  <si>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</si>
  <si>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</si>
  <si>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</si>
  <si>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</si>
  <si>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</si>
  <si>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</si>
  <si>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</si>
  <si>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</si>
  <si>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</si>
  <si>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</si>
  <si>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</si>
  <si>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</si>
  <si>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</si>
  <si>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</si>
  <si>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</si>
  <si>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</si>
  <si>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</si>
  <si>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</si>
  <si>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</si>
  <si>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</si>
  <si>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</si>
  <si>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</si>
  <si>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</si>
  <si>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</si>
  <si>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</si>
  <si>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</si>
  <si>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</si>
  <si>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</si>
  <si>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</si>
  <si>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</si>
  <si>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</si>
  <si>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</si>
  <si>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</si>
  <si>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</si>
  <si>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</si>
  <si>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</si>
  <si>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</si>
  <si>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</si>
  <si>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</si>
  <si>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</si>
  <si>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</si>
  <si>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</si>
  <si>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</si>
  <si>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</si>
  <si>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</si>
  <si>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</si>
  <si>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</si>
  <si>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</si>
  <si>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</si>
  <si>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</si>
  <si>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</si>
  <si>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</si>
  <si>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</si>
  <si>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</si>
  <si>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</si>
  <si>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</si>
  <si>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</si>
  <si>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</si>
  <si>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</si>
  <si>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</si>
  <si>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</si>
  <si>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</si>
  <si>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</si>
  <si>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</si>
  <si>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</si>
  <si>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</si>
  <si>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</si>
  <si>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</si>
  <si>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</si>
  <si>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</si>
  <si>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</si>
  <si>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</si>
  <si>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</si>
  <si>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</si>
  <si>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</si>
  <si>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</si>
  <si>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</si>
  <si>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</si>
  <si>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</si>
  <si>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</si>
  <si>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</si>
  <si>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</si>
  <si>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</si>
  <si>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</si>
  <si>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</si>
  <si>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</si>
  <si>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</si>
  <si>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</si>
  <si>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</si>
  <si>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</si>
  <si>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</si>
  <si>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</si>
  <si>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</si>
  <si>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</si>
  <si>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</si>
  <si>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</si>
  <si>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</si>
  <si>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</si>
  <si>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</si>
  <si>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</si>
  <si>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</si>
  <si>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</si>
  <si>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</si>
  <si>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</si>
  <si>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</si>
  <si>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</si>
  <si>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</si>
  <si>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</si>
  <si>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</si>
  <si>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</si>
  <si>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</si>
  <si>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</si>
  <si>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</si>
  <si>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</si>
  <si>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</si>
  <si>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</si>
  <si>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</si>
  <si>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</si>
  <si>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</si>
  <si>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</si>
  <si>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</si>
  <si>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</si>
  <si>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</si>
  <si>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</si>
  <si>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</si>
  <si>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</si>
  <si>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</si>
  <si>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</si>
  <si>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</si>
  <si>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</si>
  <si>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</si>
  <si>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</si>
  <si>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</si>
  <si>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</si>
  <si>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</si>
  <si>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</si>
  <si>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</si>
  <si>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</si>
  <si>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</si>
  <si>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</si>
  <si>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</si>
  <si>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</si>
  <si>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</si>
  <si>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</si>
  <si>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</si>
  <si>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</si>
  <si>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</si>
  <si>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</si>
  <si>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</si>
  <si>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</si>
  <si>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</si>
  <si>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</si>
  <si>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</si>
  <si>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</si>
  <si>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</si>
  <si>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</si>
  <si>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</si>
  <si>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</si>
  <si>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</si>
  <si>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</si>
  <si>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</si>
  <si>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</si>
  <si>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</si>
  <si>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</si>
  <si>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</si>
  <si>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</si>
  <si>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</si>
  <si>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</si>
  <si>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</si>
  <si>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</si>
  <si>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</si>
  <si>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</si>
  <si>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</si>
  <si>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</si>
  <si>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</si>
  <si>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</si>
  <si>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</si>
  <si>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</si>
  <si>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</si>
  <si>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</si>
  <si>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</si>
  <si>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</si>
  <si>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</si>
  <si>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</si>
  <si>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</si>
  <si>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</si>
  <si>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</si>
  <si>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</si>
  <si>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</si>
  <si>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</si>
  <si>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</si>
  <si>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</si>
  <si>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</si>
  <si>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</si>
  <si>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</si>
  <si>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</si>
  <si>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</si>
  <si>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</si>
  <si>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</si>
  <si>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</si>
  <si>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</si>
  <si>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</si>
  <si>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</si>
  <si>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</si>
  <si>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</si>
  <si>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</si>
  <si>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</si>
  <si>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</si>
  <si>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</si>
  <si>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</si>
  <si>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</si>
  <si>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</si>
  <si>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</si>
  <si>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</si>
  <si>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</si>
  <si>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</si>
  <si>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</si>
  <si>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</si>
  <si>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</si>
  <si>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</si>
  <si>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</si>
  <si>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</si>
  <si>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</si>
  <si>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</si>
  <si>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</si>
  <si>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</si>
  <si>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</si>
  <si>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</si>
  <si>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</si>
  <si>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</si>
  <si>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</si>
  <si>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</si>
  <si>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</si>
  <si>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</si>
  <si>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</si>
  <si>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</si>
  <si>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</si>
  <si>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</si>
  <si>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</si>
  <si>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</si>
  <si>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</si>
  <si>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</si>
  <si>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</si>
  <si>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</si>
  <si>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</si>
  <si>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</si>
  <si>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</si>
  <si>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</si>
  <si>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</si>
  <si>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</si>
  <si>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</si>
  <si>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</si>
  <si>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</si>
  <si>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</si>
  <si>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</si>
  <si>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</si>
  <si>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</si>
  <si>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</si>
  <si>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</si>
  <si>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</si>
  <si>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</si>
  <si>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</si>
  <si>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</si>
  <si>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</si>
  <si>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</si>
  <si>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</si>
  <si>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</si>
  <si>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</si>
  <si>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</si>
  <si>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</si>
  <si>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</si>
  <si>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</si>
  <si>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</si>
  <si>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</si>
  <si>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</si>
  <si>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</si>
  <si>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</si>
  <si>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</si>
  <si>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</si>
  <si>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</si>
  <si>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</si>
  <si>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</si>
  <si>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</si>
  <si>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</si>
  <si>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</si>
  <si>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</si>
  <si>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</si>
  <si>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</si>
  <si>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</si>
  <si>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</si>
  <si>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</si>
  <si>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</si>
  <si>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</si>
  <si>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</si>
  <si>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</si>
  <si>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</si>
  <si>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</si>
  <si>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</si>
  <si>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</si>
  <si>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</si>
  <si>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</si>
  <si>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</si>
  <si>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</si>
  <si>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</si>
  <si>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</si>
  <si>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</si>
  <si>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</si>
  <si>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</si>
  <si>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</si>
  <si>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</si>
  <si>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</si>
  <si>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</si>
  <si>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</si>
  <si>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</si>
  <si>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</si>
  <si>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</si>
  <si>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</si>
  <si>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</si>
  <si>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</si>
  <si>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</si>
  <si>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</si>
  <si>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</si>
  <si>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</si>
  <si>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</si>
  <si>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</si>
  <si>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</si>
  <si>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</si>
  <si>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</si>
  <si>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</si>
  <si>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</si>
  <si>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</si>
  <si>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</si>
  <si>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</si>
  <si>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</si>
  <si>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</si>
  <si>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</si>
  <si>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</si>
  <si>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</si>
  <si>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</si>
  <si>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</si>
  <si>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</si>
  <si>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</si>
  <si>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</si>
  <si>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</si>
  <si>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</si>
  <si>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</si>
  <si>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</si>
  <si>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</si>
  <si>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</si>
  <si>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</si>
  <si>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</si>
  <si>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</si>
  <si>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</si>
  <si>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</si>
  <si>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</si>
  <si>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</si>
  <si>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</si>
  <si>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</si>
  <si>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</si>
  <si>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</si>
  <si>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</si>
  <si>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</si>
  <si>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</si>
  <si>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</si>
  <si>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</si>
  <si>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</si>
  <si>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</si>
  <si>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</si>
  <si>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</si>
  <si>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</si>
  <si>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</si>
  <si>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</si>
  <si>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</si>
  <si>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</si>
  <si>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</si>
  <si>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</si>
  <si>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</si>
  <si>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</si>
  <si>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</si>
  <si>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</si>
  <si>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</si>
  <si>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</si>
  <si>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</si>
  <si>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</si>
  <si>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</si>
  <si>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</si>
  <si>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</si>
  <si>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</si>
  <si>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</si>
  <si>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</si>
  <si>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</si>
  <si>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</si>
  <si>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</si>
  <si>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</si>
  <si>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</si>
  <si>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</si>
  <si>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</si>
  <si>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</si>
  <si>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</si>
  <si>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</si>
  <si>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</si>
  <si>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</si>
  <si>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</si>
  <si>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</si>
  <si>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</si>
  <si>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</si>
  <si>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</si>
  <si>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</si>
  <si>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</si>
  <si>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</si>
  <si>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</si>
  <si>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</si>
  <si>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</si>
  <si>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</si>
  <si>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</si>
  <si>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</si>
  <si>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</si>
  <si>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</si>
  <si>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</si>
  <si>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</si>
  <si>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</si>
  <si>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</si>
  <si>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</si>
  <si>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</si>
  <si>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</si>
  <si>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</si>
  <si>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</si>
  <si>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</si>
  <si>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</si>
  <si>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</si>
  <si>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</si>
  <si>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</si>
  <si>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</si>
  <si>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</si>
  <si>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</si>
  <si>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</si>
  <si>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</si>
  <si>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</si>
  <si>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</si>
  <si>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</si>
  <si>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</si>
  <si>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</si>
  <si>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</si>
  <si>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</si>
  <si>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</si>
  <si>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</si>
  <si>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</si>
  <si>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</si>
  <si>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</si>
  <si>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</si>
  <si>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</si>
  <si>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</si>
  <si>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</si>
  <si>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</si>
  <si>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</si>
  <si>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</si>
  <si>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</si>
  <si>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</si>
  <si>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</si>
  <si>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</si>
  <si>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</si>
  <si>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</si>
  <si>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</si>
  <si>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</si>
  <si>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</si>
  <si>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</si>
  <si>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</si>
  <si>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</si>
  <si>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</si>
  <si>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</si>
  <si>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</si>
  <si>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</si>
  <si>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</si>
  <si>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</si>
  <si>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</si>
  <si>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</si>
  <si>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</si>
  <si>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</si>
  <si>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</si>
  <si>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</si>
  <si>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</si>
  <si>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</si>
  <si>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</si>
  <si>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</si>
  <si>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</si>
  <si>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</si>
  <si>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</si>
  <si>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</si>
  <si>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</si>
  <si>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</si>
  <si>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</si>
  <si>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</si>
  <si>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</si>
  <si>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</si>
  <si>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</si>
  <si>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</si>
  <si>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</si>
  <si>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</si>
  <si>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</si>
  <si>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</si>
  <si>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</si>
  <si>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</si>
  <si>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</si>
  <si>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</si>
  <si>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</si>
  <si>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</si>
  <si>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</si>
  <si>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</si>
  <si>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</si>
  <si>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</si>
  <si>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</si>
  <si>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</si>
  <si>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</si>
  <si>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</si>
  <si>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</si>
  <si>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</si>
  <si>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</si>
  <si>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</si>
  <si>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</si>
  <si>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</si>
  <si>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</si>
  <si>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</si>
  <si>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</si>
  <si>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</si>
  <si>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</si>
  <si>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</si>
  <si>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</si>
  <si>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</si>
  <si>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</si>
  <si>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</si>
  <si>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</si>
  <si>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</si>
  <si>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</si>
  <si>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</si>
  <si>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</si>
  <si>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</si>
  <si>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</si>
  <si>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</si>
  <si>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</si>
  <si>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</si>
  <si>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</si>
  <si>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</si>
  <si>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</si>
  <si>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</si>
  <si>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</si>
  <si>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</si>
  <si>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</si>
  <si>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</si>
  <si>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</si>
  <si>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</si>
  <si>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</si>
  <si>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</si>
  <si>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</si>
  <si>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</si>
  <si>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</si>
  <si>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</si>
  <si>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</si>
  <si>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</si>
  <si>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</si>
  <si>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</si>
  <si>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</si>
  <si>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</si>
  <si>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</si>
  <si>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</si>
  <si>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</si>
  <si>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</si>
  <si>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</si>
  <si>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</si>
  <si>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</si>
  <si>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</si>
  <si>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</si>
  <si>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</si>
  <si>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</si>
  <si>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</si>
  <si>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</si>
  <si>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</si>
  <si>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</si>
  <si>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</si>
  <si>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</si>
  <si>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</si>
  <si>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</si>
  <si>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</si>
  <si>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</si>
  <si>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</si>
  <si>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</si>
  <si>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</si>
  <si>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</si>
  <si>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</si>
  <si>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</si>
  <si>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</si>
  <si>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</si>
  <si>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</si>
  <si>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</si>
  <si>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</si>
  <si>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</si>
  <si>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</si>
  <si>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</si>
  <si>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</si>
  <si>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</si>
  <si>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</si>
  <si>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</si>
  <si>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</si>
  <si>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</si>
  <si>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</si>
  <si>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</si>
  <si>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</si>
  <si>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</si>
  <si>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</si>
  <si>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</si>
  <si>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</si>
  <si>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</si>
  <si>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</si>
  <si>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</si>
  <si>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</si>
  <si>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</si>
  <si>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</si>
  <si>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</si>
  <si>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</si>
  <si>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</si>
  <si>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</si>
  <si>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</si>
  <si>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</si>
  <si>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</si>
  <si>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</si>
  <si>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</si>
  <si>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</si>
  <si>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</si>
  <si>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</si>
  <si>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</si>
  <si>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</si>
  <si>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</si>
  <si>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</si>
  <si>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</si>
  <si>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</si>
  <si>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</si>
  <si>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</si>
  <si>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</si>
  <si>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</si>
  <si>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</si>
  <si>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</si>
  <si>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</si>
  <si>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</si>
  <si>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</si>
  <si>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</si>
  <si>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</si>
  <si>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</si>
  <si>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</si>
  <si>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</si>
  <si>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</si>
  <si>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</si>
  <si>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</si>
  <si>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</si>
  <si>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</si>
  <si>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</si>
  <si>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</si>
  <si>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</si>
  <si>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</si>
  <si>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</si>
  <si>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</si>
  <si>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</si>
  <si>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</si>
  <si>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</si>
  <si>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</si>
  <si>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</si>
  <si>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</si>
  <si>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</si>
  <si>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</si>
  <si>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</si>
  <si>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</si>
  <si>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</si>
  <si>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</si>
  <si>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</si>
  <si>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</si>
  <si>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</si>
  <si>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</si>
  <si>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</si>
  <si>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</si>
  <si>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</si>
  <si>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</si>
  <si>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</si>
  <si>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</si>
  <si>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</si>
  <si>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</si>
  <si>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</si>
  <si>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</si>
  <si>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</si>
  <si>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</si>
  <si>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</si>
  <si>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</si>
  <si>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</si>
  <si>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</si>
  <si>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</si>
  <si>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</si>
  <si>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</si>
  <si>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</si>
  <si>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</si>
  <si>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</si>
  <si>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</si>
  <si>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</si>
  <si>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</si>
  <si>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</si>
  <si>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</si>
  <si>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</si>
  <si>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</si>
  <si>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</si>
  <si>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</si>
  <si>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</si>
  <si>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</si>
  <si>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</si>
  <si>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</si>
  <si>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</si>
  <si>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</si>
  <si>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</si>
  <si>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</si>
  <si>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</si>
  <si>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</si>
  <si>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</si>
  <si>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</si>
  <si>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</si>
  <si>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</si>
  <si>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</si>
  <si>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</si>
  <si>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</si>
  <si>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</si>
  <si>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</si>
  <si>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</si>
  <si>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</si>
  <si>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</si>
  <si>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</si>
  <si>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</si>
  <si>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</si>
  <si>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</si>
  <si>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</si>
  <si>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</si>
  <si>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</si>
  <si>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</si>
  <si>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</si>
  <si>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</si>
  <si>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</si>
  <si>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</si>
  <si>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</si>
  <si>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</si>
  <si>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</si>
  <si>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</si>
  <si>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</si>
  <si>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</si>
  <si>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</si>
  <si>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</si>
  <si>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</si>
  <si>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</si>
  <si>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</si>
  <si>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</si>
  <si>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</si>
  <si>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</si>
  <si>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</si>
  <si>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</si>
  <si>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</si>
  <si>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</si>
  <si>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</si>
  <si>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</si>
  <si>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</si>
  <si>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</si>
  <si>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</si>
  <si>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</si>
  <si>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</si>
  <si>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</si>
  <si>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</si>
  <si>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</si>
  <si>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</si>
  <si>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</si>
  <si>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</si>
  <si>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</si>
  <si>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</si>
  <si>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</si>
  <si>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</si>
  <si>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</si>
  <si>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</si>
  <si>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</si>
  <si>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</si>
  <si>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</si>
  <si>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</si>
  <si>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</si>
  <si>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</si>
  <si>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</si>
  <si>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</si>
  <si>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</si>
  <si>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</si>
  <si>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</si>
  <si>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</si>
  <si>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</si>
  <si>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</si>
  <si>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</si>
  <si>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</si>
  <si>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</si>
  <si>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</si>
  <si>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</si>
  <si>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</si>
  <si>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</si>
  <si>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</si>
  <si>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</si>
  <si>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</si>
  <si>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</si>
  <si>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</si>
  <si>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</si>
  <si>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</si>
  <si>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</si>
  <si>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</si>
  <si>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</si>
  <si>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</si>
  <si>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</si>
  <si>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</si>
  <si>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</si>
  <si>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</si>
  <si>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</si>
  <si>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</si>
  <si>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</si>
  <si>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</si>
  <si>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</si>
  <si>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</si>
  <si>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</si>
  <si>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</si>
  <si>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</si>
  <si>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</si>
  <si>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</si>
  <si>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</si>
  <si>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</si>
  <si>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</si>
  <si>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</si>
  <si>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</si>
  <si>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</si>
  <si>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</si>
  <si>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</si>
  <si>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</si>
  <si>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</si>
  <si>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</si>
  <si>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</si>
  <si>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</si>
  <si>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</si>
  <si>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</si>
  <si>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</si>
  <si>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</si>
  <si>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</si>
  <si>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</si>
  <si>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</si>
  <si>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</si>
  <si>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</si>
  <si>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</si>
  <si>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</si>
  <si>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</si>
  <si>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</si>
  <si>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</si>
  <si>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</si>
  <si>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</si>
  <si>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</si>
  <si>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</si>
  <si>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</si>
  <si>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</si>
  <si>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</si>
  <si>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</si>
  <si>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</si>
  <si>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</si>
  <si>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</si>
  <si>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</si>
  <si>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</si>
  <si>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</si>
  <si>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</si>
  <si>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</si>
  <si>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</si>
  <si>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</si>
  <si>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</si>
  <si>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</si>
  <si>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</si>
  <si>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</si>
  <si>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</si>
  <si>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</si>
  <si>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</si>
  <si>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</si>
  <si>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</si>
  <si>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</si>
  <si>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</si>
  <si>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</si>
  <si>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</si>
  <si>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</si>
  <si>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</si>
  <si>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</si>
  <si>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</si>
  <si>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</si>
  <si>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</si>
  <si>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</si>
  <si>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</si>
  <si>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</si>
  <si>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</si>
  <si>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</si>
  <si>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</si>
  <si>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</si>
  <si>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</si>
  <si>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</si>
  <si>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</si>
  <si>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</si>
  <si>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</si>
  <si>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</si>
  <si>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</si>
  <si>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</si>
  <si>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</si>
  <si>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</si>
  <si>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</si>
  <si>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</si>
  <si>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</si>
  <si>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</si>
  <si>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</si>
  <si>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</si>
  <si>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</si>
  <si>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</si>
  <si>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</si>
  <si>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</si>
  <si>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</si>
  <si>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</si>
  <si>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</si>
  <si>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</si>
  <si>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</si>
  <si>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</si>
  <si>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</si>
  <si>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</si>
  <si>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</si>
  <si>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</si>
  <si>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</si>
  <si>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</si>
  <si>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</si>
  <si>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</si>
  <si>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</si>
  <si>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</si>
  <si>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</si>
  <si>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</si>
  <si>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</si>
  <si>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</si>
  <si>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</si>
  <si>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</si>
  <si>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</si>
  <si>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</si>
  <si>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</si>
  <si>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</si>
  <si>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</si>
  <si>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</si>
  <si>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</si>
  <si>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</si>
  <si>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</si>
  <si>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</si>
  <si>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</si>
  <si>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</si>
  <si>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</si>
  <si>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</si>
  <si>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</si>
  <si>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</si>
  <si>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</si>
  <si>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</si>
  <si>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</si>
  <si>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</si>
  <si>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</si>
  <si>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</si>
  <si>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</si>
  <si>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</si>
  <si>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</si>
  <si>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</si>
  <si>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</si>
  <si>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</si>
  <si>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</si>
  <si>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</si>
  <si>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</si>
  <si>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</si>
  <si>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</si>
  <si>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</si>
  <si>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</si>
  <si>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</si>
  <si>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</si>
  <si>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</si>
  <si>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</si>
  <si>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</si>
  <si>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</si>
  <si>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</si>
  <si>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</si>
  <si>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</si>
  <si>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</si>
  <si>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</si>
  <si>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</si>
  <si>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</si>
  <si>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</si>
  <si>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</si>
  <si>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</si>
  <si>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</si>
  <si>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</si>
  <si>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</si>
  <si>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</si>
  <si>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</si>
  <si>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</si>
  <si>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</si>
  <si>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</si>
  <si>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</si>
  <si>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</si>
  <si>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</si>
  <si>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</si>
  <si>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</si>
  <si>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</si>
  <si>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</si>
  <si>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</si>
  <si>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</si>
  <si>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</si>
  <si>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</si>
  <si>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</si>
  <si>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</si>
  <si>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</si>
  <si>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</si>
  <si>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</si>
  <si>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</si>
  <si>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</si>
  <si>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</si>
  <si>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</si>
  <si>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</si>
  <si>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</si>
  <si>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</si>
  <si>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</si>
  <si>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</si>
  <si>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</si>
  <si>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</si>
  <si>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</si>
  <si>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</si>
  <si>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</si>
  <si>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</si>
  <si>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</si>
  <si>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</si>
  <si>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</si>
  <si>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</si>
  <si>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</si>
  <si>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</si>
  <si>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</si>
  <si>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</si>
  <si>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</si>
  <si>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</si>
  <si>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</si>
  <si>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</si>
  <si>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</si>
  <si>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</si>
  <si>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</si>
  <si>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</si>
  <si>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</si>
  <si>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</si>
  <si>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</si>
  <si>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</si>
  <si>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</si>
  <si>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</si>
  <si>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</si>
  <si>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</si>
  <si>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</si>
  <si>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</si>
  <si>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</si>
  <si>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</si>
  <si>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</si>
  <si>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</si>
  <si>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</si>
  <si>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</si>
  <si>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</si>
  <si>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</si>
  <si>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</si>
  <si>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</si>
  <si>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</si>
  <si>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</si>
  <si>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</si>
  <si>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</si>
  <si>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</si>
  <si>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</si>
  <si>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</si>
  <si>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</si>
  <si>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</si>
  <si>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</si>
  <si>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</si>
  <si>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</si>
  <si>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</si>
  <si>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</si>
  <si>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</si>
  <si>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</si>
  <si>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</si>
  <si>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</si>
  <si>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</si>
  <si>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</si>
  <si>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</si>
  <si>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</si>
  <si>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</si>
  <si>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</si>
  <si>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</si>
  <si>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</si>
  <si>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</si>
  <si>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</si>
  <si>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</si>
  <si>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</si>
  <si>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</si>
  <si>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</si>
  <si>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</si>
  <si>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</si>
  <si>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</si>
  <si>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</si>
  <si>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</si>
  <si>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</si>
  <si>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</si>
  <si>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</si>
  <si>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</si>
  <si>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</si>
  <si>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</si>
  <si>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</si>
  <si>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</si>
  <si>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</si>
  <si>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</si>
  <si>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</si>
  <si>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</si>
  <si>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</si>
  <si>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</si>
  <si>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</si>
  <si>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</si>
  <si>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</si>
  <si>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</si>
  <si>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</si>
  <si>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</si>
  <si>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</si>
  <si>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</si>
  <si>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</si>
  <si>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</si>
  <si>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</si>
  <si>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</si>
  <si>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</si>
  <si>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</si>
  <si>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</si>
  <si>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</si>
  <si>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</si>
  <si>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</si>
  <si>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</si>
  <si>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</si>
  <si>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</si>
  <si>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</si>
  <si>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</si>
  <si>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</si>
  <si>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</si>
  <si>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</si>
  <si>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</si>
  <si>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</si>
  <si>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</si>
  <si>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</si>
  <si>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</si>
  <si>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</si>
  <si>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</si>
  <si>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</si>
  <si>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</si>
  <si>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</si>
  <si>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</si>
  <si>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</si>
  <si>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</si>
  <si>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</si>
  <si>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</si>
  <si>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</si>
  <si>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</si>
  <si>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</si>
  <si>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</si>
  <si>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</si>
  <si>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</si>
  <si>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</si>
  <si>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</si>
  <si>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</si>
  <si>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</si>
  <si>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</si>
  <si>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</si>
  <si>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</si>
  <si>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</si>
  <si>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</si>
  <si>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</si>
  <si>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</si>
  <si>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</si>
  <si>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</si>
  <si>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</si>
  <si>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</si>
  <si>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</si>
  <si>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</si>
  <si>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</si>
  <si>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</si>
  <si>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</si>
  <si>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</si>
  <si>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</si>
  <si>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</si>
  <si>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</si>
  <si>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</si>
  <si>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</si>
  <si>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</si>
  <si>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</si>
  <si>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</si>
  <si>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</si>
  <si>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</si>
  <si>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</si>
  <si>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</si>
  <si>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</si>
  <si>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</si>
  <si>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</si>
  <si>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</si>
  <si>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</si>
  <si>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</si>
  <si>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</si>
  <si>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</si>
  <si>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</si>
  <si>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</si>
  <si>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</si>
  <si>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</si>
  <si>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</si>
  <si>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</si>
  <si>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</si>
  <si>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</si>
  <si>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</si>
  <si>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</si>
  <si>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</si>
  <si>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</si>
  <si>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</si>
  <si>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</si>
  <si>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</si>
  <si>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</si>
  <si>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</si>
  <si>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</si>
  <si>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</si>
  <si>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</si>
  <si>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</si>
  <si>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</si>
  <si>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</si>
  <si>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</si>
  <si>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</si>
  <si>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</si>
  <si>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</si>
  <si>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</si>
  <si>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</si>
  <si>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</si>
  <si>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</si>
  <si>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</si>
  <si>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</si>
  <si>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</si>
  <si>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</si>
  <si>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</si>
  <si>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</si>
  <si>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</si>
  <si>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</si>
  <si>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</si>
  <si>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</si>
  <si>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</si>
  <si>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</si>
  <si>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</si>
  <si>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</si>
  <si>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</si>
  <si>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</si>
  <si>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</si>
  <si>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</si>
  <si>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</si>
  <si>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</si>
  <si>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</si>
  <si>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</si>
  <si>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</si>
  <si>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</si>
  <si>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</si>
  <si>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</si>
  <si>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</si>
  <si>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</si>
  <si>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</si>
  <si>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</si>
  <si>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</si>
  <si>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</si>
  <si>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</si>
  <si>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</si>
  <si>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</si>
  <si>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</si>
  <si>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</si>
  <si>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</si>
  <si>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</si>
  <si>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</si>
  <si>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</si>
  <si>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</si>
  <si>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</si>
  <si>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</si>
  <si>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</si>
  <si>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</si>
  <si>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</si>
  <si>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</si>
  <si>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</si>
  <si>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</si>
  <si>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</si>
  <si>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</si>
  <si>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</si>
  <si>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</si>
  <si>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</si>
  <si>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</si>
  <si>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</si>
  <si>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</si>
  <si>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</si>
  <si>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</si>
  <si>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</si>
  <si>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</si>
  <si>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</si>
  <si>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</si>
  <si>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</si>
  <si>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</si>
  <si>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</si>
  <si>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</si>
  <si>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</si>
  <si>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</si>
  <si>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</si>
  <si>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</si>
  <si>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</si>
  <si>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</si>
  <si>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</si>
  <si>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</si>
  <si>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</si>
  <si>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</si>
  <si>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</si>
  <si>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</si>
  <si>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</si>
  <si>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</si>
  <si>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</si>
  <si>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</si>
  <si>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</si>
  <si>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</si>
  <si>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</si>
  <si>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</si>
  <si>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</si>
  <si>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</si>
  <si>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</si>
  <si>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</si>
  <si>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</si>
  <si>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</si>
  <si>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</si>
  <si>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</si>
  <si>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</si>
  <si>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</si>
  <si>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</si>
  <si>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</si>
  <si>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</si>
  <si>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</si>
  <si>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</si>
  <si>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</si>
  <si>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</si>
  <si>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</si>
  <si>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</si>
  <si>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</si>
  <si>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</si>
  <si>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</si>
  <si>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</si>
  <si>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</si>
  <si>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</si>
  <si>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</si>
  <si>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</si>
  <si>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</si>
  <si>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</si>
  <si>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</si>
  <si>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</si>
  <si>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</si>
  <si>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</si>
  <si>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</si>
  <si>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</si>
  <si>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</si>
  <si>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</si>
  <si>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</si>
  <si>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</si>
  <si>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</si>
  <si>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</si>
  <si>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</si>
  <si>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</si>
  <si>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</si>
  <si>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</si>
  <si>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</si>
  <si>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</si>
  <si>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</si>
  <si>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</si>
  <si>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</si>
  <si>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</si>
  <si>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</si>
  <si>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</si>
  <si>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</si>
  <si>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</si>
  <si>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</si>
  <si>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</si>
  <si>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</si>
  <si>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</si>
  <si>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</si>
  <si>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</si>
  <si>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</si>
  <si>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</si>
  <si>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</si>
  <si>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</si>
  <si>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</si>
  <si>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</si>
  <si>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</si>
  <si>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</si>
  <si>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</si>
  <si>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</si>
  <si>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</si>
  <si>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</si>
  <si>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</si>
  <si>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</si>
  <si>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</si>
  <si>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</si>
  <si>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</si>
  <si>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</si>
  <si>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</si>
  <si>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</si>
  <si>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</si>
  <si>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</si>
  <si>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</si>
  <si>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</si>
  <si>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</si>
  <si>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</si>
  <si>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</si>
  <si>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</si>
  <si>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</si>
  <si>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</si>
  <si>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</si>
  <si>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</si>
  <si>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</si>
  <si>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</si>
  <si>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</si>
  <si>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</si>
  <si>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</si>
  <si>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</si>
  <si>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</si>
  <si>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</si>
  <si>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</si>
  <si>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</si>
  <si>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</si>
  <si>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</si>
  <si>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</si>
  <si>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</si>
  <si>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</si>
  <si>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</si>
  <si>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</si>
  <si>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</si>
  <si>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</si>
  <si>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</si>
  <si>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</si>
  <si>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</si>
  <si>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</si>
  <si>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</si>
  <si>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</si>
  <si>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</si>
  <si>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</si>
  <si>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</si>
  <si>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</si>
  <si>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</si>
  <si>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</si>
  <si>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</si>
  <si>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</si>
  <si>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</si>
  <si>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</si>
  <si>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</si>
  <si>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</si>
  <si>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</si>
  <si>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</si>
  <si>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</si>
  <si>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</si>
  <si>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</si>
  <si>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</si>
  <si>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</si>
  <si>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</si>
  <si>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</si>
  <si>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</si>
  <si>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</si>
  <si>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</si>
  <si>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</si>
  <si>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</si>
  <si>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</si>
  <si>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</si>
  <si>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</si>
  <si>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</si>
  <si>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</si>
  <si>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</si>
  <si>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</si>
  <si>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</si>
  <si>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</si>
  <si>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</si>
  <si>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</si>
  <si>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</si>
  <si>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</si>
  <si>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</si>
  <si>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</si>
  <si>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</si>
  <si>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</si>
  <si>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</si>
  <si>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</si>
  <si>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</si>
  <si>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</si>
  <si>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</si>
  <si>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</si>
  <si>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</si>
  <si>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</si>
  <si>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</si>
  <si>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</si>
  <si>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</si>
  <si>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</si>
  <si>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</si>
  <si>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</si>
  <si>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</si>
  <si>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</si>
  <si>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</si>
  <si>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</si>
  <si>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</si>
  <si>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</si>
  <si>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</si>
  <si>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</si>
  <si>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</si>
  <si>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</si>
  <si>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</si>
  <si>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</si>
  <si>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</si>
  <si>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</si>
  <si>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</si>
  <si>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</si>
  <si>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</si>
  <si>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</si>
  <si>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</si>
  <si>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</si>
  <si>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</si>
  <si>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</si>
  <si>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</si>
  <si>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</si>
  <si>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</si>
  <si>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</si>
  <si>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</si>
  <si>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</si>
  <si>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</si>
  <si>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</si>
  <si>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</si>
  <si>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</si>
  <si>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</si>
  <si>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</si>
  <si>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</si>
  <si>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</si>
  <si>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</si>
  <si>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</si>
  <si>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</si>
  <si>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</si>
  <si>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</si>
  <si>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</si>
  <si>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</si>
  <si>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</si>
  <si>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</si>
  <si>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</si>
  <si>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</si>
  <si>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</si>
  <si>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</si>
  <si>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</si>
  <si>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</si>
  <si>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</si>
  <si>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</si>
  <si>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</si>
  <si>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</si>
  <si>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</si>
  <si>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</si>
  <si>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</si>
  <si>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</si>
  <si>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</si>
  <si>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</si>
  <si>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</si>
  <si>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</si>
  <si>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</si>
  <si>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</si>
  <si>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</si>
  <si>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</si>
  <si>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</si>
  <si>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</si>
  <si>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</si>
  <si>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</si>
  <si>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</si>
  <si>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</si>
  <si>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</si>
  <si>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</si>
  <si>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</si>
  <si>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</si>
  <si>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</si>
  <si>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</si>
  <si>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</si>
  <si>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</si>
  <si>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</si>
  <si>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</si>
  <si>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</si>
  <si>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</si>
  <si>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</si>
  <si>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</si>
  <si>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</si>
  <si>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</si>
  <si>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</si>
  <si>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</si>
  <si>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</si>
  <si>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</si>
  <si>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</si>
  <si>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</si>
  <si>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</si>
  <si>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</si>
  <si>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</si>
  <si>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</si>
  <si>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</si>
  <si>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</si>
  <si>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</si>
  <si>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</si>
  <si>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</si>
  <si>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</si>
  <si>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</si>
  <si>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</si>
  <si>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</si>
  <si>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</si>
  <si>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</si>
  <si>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</si>
  <si>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</si>
  <si>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</si>
  <si>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</si>
  <si>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</si>
  <si>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</si>
  <si>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</si>
  <si>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</si>
  <si>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</si>
  <si>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</si>
  <si>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</si>
  <si>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</si>
  <si>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</si>
  <si>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</si>
  <si>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</si>
  <si>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</si>
  <si>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</si>
  <si>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</si>
  <si>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</si>
  <si>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</si>
  <si>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</si>
  <si>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</si>
  <si>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</si>
  <si>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</si>
  <si>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</si>
  <si>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</si>
  <si>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</si>
  <si>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</si>
  <si>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</si>
  <si>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</si>
  <si>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</si>
  <si>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</si>
  <si>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</si>
  <si>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</si>
  <si>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</si>
  <si>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</si>
  <si>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</si>
  <si>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</si>
  <si>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</si>
  <si>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</si>
  <si>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</si>
  <si>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</si>
  <si>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</si>
  <si>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</si>
  <si>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</si>
  <si>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</si>
  <si>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</si>
  <si>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</si>
  <si>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</si>
  <si>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</si>
  <si>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</si>
  <si>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</si>
  <si>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</si>
  <si>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</si>
  <si>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</si>
  <si>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</si>
  <si>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</si>
  <si>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</si>
  <si>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</si>
  <si>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</si>
  <si>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</si>
  <si>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</si>
  <si>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</si>
  <si>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</si>
  <si>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</si>
  <si>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</si>
  <si>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</si>
  <si>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</si>
  <si>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</si>
  <si>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</si>
  <si>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</si>
  <si>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</si>
  <si>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</si>
  <si>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</si>
  <si>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</si>
  <si>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</si>
  <si>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</si>
  <si>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</si>
  <si>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</si>
  <si>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</si>
  <si>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</si>
  <si>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</si>
  <si>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</si>
  <si>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</si>
  <si>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</si>
  <si>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</si>
  <si>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</si>
  <si>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</si>
  <si>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</si>
  <si>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</si>
  <si>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</si>
  <si>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</si>
  <si>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</si>
  <si>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</si>
  <si>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</si>
  <si>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</si>
  <si>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</si>
  <si>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</si>
  <si>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</si>
  <si>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</si>
  <si>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</si>
  <si>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</si>
  <si>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</si>
  <si>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</si>
  <si>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</si>
  <si>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</si>
  <si>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</si>
  <si>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</si>
  <si>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</si>
  <si>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</si>
  <si>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</si>
  <si>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</si>
  <si>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</si>
  <si>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</si>
  <si>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</si>
  <si>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</si>
  <si>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</si>
  <si>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</si>
  <si>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</si>
  <si>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</si>
  <si>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</si>
  <si>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</si>
  <si>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</si>
  <si>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</si>
  <si>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</si>
  <si>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</si>
  <si>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</si>
  <si>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</si>
  <si>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</si>
  <si>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</si>
  <si>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</si>
  <si>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</si>
  <si>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</si>
  <si>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</si>
  <si>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</si>
  <si>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</si>
  <si>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</si>
  <si>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</si>
  <si>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</si>
  <si>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</si>
  <si>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</si>
  <si>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</si>
  <si>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</si>
  <si>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</si>
  <si>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</si>
  <si>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</si>
  <si>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</si>
  <si>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</si>
  <si>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</si>
  <si>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</si>
  <si>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</si>
  <si>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</si>
  <si>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</si>
  <si>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</si>
  <si>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</si>
  <si>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</si>
  <si>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</si>
  <si>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</si>
  <si>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</si>
  <si>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</si>
  <si>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</si>
  <si>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</si>
  <si>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</si>
  <si>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</si>
  <si>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</si>
  <si>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</si>
  <si>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</si>
  <si>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</si>
  <si>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</si>
  <si>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</si>
  <si>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</si>
  <si>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</si>
  <si>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</si>
  <si>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</si>
  <si>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</si>
  <si>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</si>
  <si>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</si>
  <si>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</si>
  <si>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</si>
  <si>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</si>
  <si>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</si>
  <si>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</si>
  <si>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</si>
  <si>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</si>
  <si>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</si>
  <si>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</si>
  <si>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</si>
  <si>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</si>
  <si>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</si>
  <si>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</si>
  <si>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</si>
  <si>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</si>
  <si>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</si>
  <si>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</si>
  <si>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</si>
  <si>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</si>
  <si>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</si>
  <si>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</si>
  <si>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</si>
  <si>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</si>
  <si>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</si>
  <si>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</si>
  <si>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</si>
  <si>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</si>
  <si>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</si>
  <si>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</si>
  <si>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</si>
  <si>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</si>
  <si>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</si>
  <si>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</si>
  <si>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</si>
  <si>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</si>
  <si>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</si>
  <si>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</si>
  <si>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</si>
  <si>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</si>
  <si>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</si>
  <si>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</si>
  <si>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</si>
  <si>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</si>
  <si>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</si>
  <si>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</si>
  <si>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</si>
  <si>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</si>
  <si>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</si>
  <si>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</si>
  <si>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</si>
  <si>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</si>
  <si>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</si>
  <si>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</si>
  <si>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</si>
  <si>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</si>
  <si>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</si>
  <si>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</si>
  <si>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</si>
  <si>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</si>
  <si>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</si>
  <si>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</si>
  <si>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</si>
  <si>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</si>
  <si>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</si>
  <si>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</si>
  <si>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</si>
  <si>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</si>
  <si>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</si>
  <si>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</si>
  <si>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</si>
  <si>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</si>
  <si>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</si>
  <si>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</si>
  <si>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</si>
  <si>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</si>
  <si>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</si>
  <si>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</si>
  <si>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</si>
  <si>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</si>
  <si>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</si>
  <si>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</si>
  <si>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</si>
  <si>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</si>
  <si>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</si>
  <si>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</si>
  <si>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</si>
  <si>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</si>
  <si>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</si>
  <si>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</si>
  <si>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</si>
  <si>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</si>
  <si>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</si>
  <si>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</si>
  <si>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</si>
  <si>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</si>
  <si>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</si>
  <si>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</si>
  <si>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</si>
  <si>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</si>
  <si>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</si>
  <si>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</si>
  <si>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</si>
  <si>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</si>
  <si>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</si>
  <si>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</si>
  <si>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</si>
  <si>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</si>
  <si>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</si>
  <si>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</si>
  <si>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</si>
  <si>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</si>
  <si>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</si>
  <si>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</si>
  <si>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</si>
  <si>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</si>
  <si>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</si>
  <si>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</si>
  <si>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</si>
  <si>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</si>
  <si>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</si>
  <si>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</si>
  <si>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</si>
  <si>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</si>
  <si>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</si>
  <si>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</si>
  <si>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</si>
  <si>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</si>
  <si>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</si>
  <si>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</si>
  <si>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</si>
  <si>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</si>
  <si>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</si>
  <si>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</si>
  <si>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</si>
  <si>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</si>
  <si>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</si>
  <si>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</si>
  <si>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</si>
  <si>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</si>
  <si>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</si>
  <si>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</si>
  <si>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</si>
  <si>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</si>
  <si>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</si>
  <si>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</si>
  <si>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</si>
  <si>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</si>
  <si>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</si>
  <si>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</si>
  <si>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</si>
  <si>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</si>
  <si>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</si>
  <si>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</si>
  <si>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</si>
  <si>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</si>
  <si>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</si>
  <si>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</si>
  <si>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</si>
  <si>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</si>
  <si>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</si>
  <si>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</si>
  <si>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</si>
  <si>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</si>
  <si>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</si>
  <si>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</si>
  <si>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</si>
  <si>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</si>
  <si>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</si>
  <si>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</si>
  <si>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</si>
  <si>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</si>
  <si>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</si>
  <si>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</si>
  <si>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</si>
  <si>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</si>
  <si>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</si>
  <si>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</si>
  <si>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</si>
  <si>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</si>
  <si>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</si>
  <si>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</si>
  <si>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</si>
  <si>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</si>
  <si>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</si>
  <si>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</si>
  <si>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</si>
  <si>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</si>
  <si>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</si>
  <si>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</si>
  <si>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</si>
  <si>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</si>
  <si>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</si>
  <si>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</si>
  <si>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</si>
  <si>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</si>
  <si>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</si>
  <si>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</si>
  <si>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</si>
  <si>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</si>
  <si>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</si>
  <si>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</si>
  <si>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</si>
  <si>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</si>
  <si>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</si>
  <si>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</si>
  <si>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</si>
  <si>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</si>
  <si>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</si>
  <si>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</si>
  <si>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</si>
  <si>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</si>
  <si>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</si>
  <si>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</si>
  <si>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</si>
  <si>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</si>
  <si>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</si>
  <si>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</si>
  <si>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</si>
  <si>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</si>
  <si>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</si>
  <si>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</si>
  <si>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</si>
  <si>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</si>
  <si>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</si>
  <si>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</si>
  <si>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</si>
  <si>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</si>
  <si>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</si>
  <si>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</si>
  <si>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</si>
  <si>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</si>
  <si>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</si>
  <si>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</si>
  <si>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</si>
  <si>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</si>
  <si>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</si>
  <si>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</si>
  <si>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</si>
  <si>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</si>
  <si>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</si>
  <si>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</si>
  <si>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</si>
  <si>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</si>
  <si>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</si>
  <si>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</si>
  <si>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</si>
  <si>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</si>
  <si>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</si>
  <si>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</si>
  <si>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</si>
  <si>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</si>
  <si>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</si>
  <si>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</si>
  <si>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</si>
  <si>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</si>
  <si>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</si>
  <si>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</si>
  <si>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</si>
  <si>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</si>
  <si>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</si>
  <si>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</si>
  <si>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</si>
  <si>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</si>
  <si>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</si>
  <si>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</si>
  <si>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</si>
  <si>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</si>
  <si>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</si>
  <si>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</si>
  <si>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</si>
  <si>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</si>
  <si>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</si>
  <si>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</si>
  <si>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</si>
  <si>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</si>
  <si>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</si>
  <si>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</si>
  <si>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</si>
  <si>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</si>
  <si>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</si>
  <si>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</si>
  <si>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</si>
  <si>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</si>
  <si>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</si>
  <si>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</si>
  <si>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</si>
  <si>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</si>
  <si>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</si>
  <si>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</si>
  <si>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</si>
  <si>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</si>
  <si>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</si>
  <si>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</si>
  <si>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</si>
  <si>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</si>
  <si>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</si>
  <si>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</si>
  <si>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</si>
  <si>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</si>
  <si>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</si>
  <si>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</si>
  <si>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</si>
  <si>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</si>
  <si>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</si>
  <si>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</si>
  <si>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</si>
  <si>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</si>
  <si>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</si>
  <si>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</si>
  <si>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</si>
  <si>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</si>
  <si>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</si>
  <si>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</si>
  <si>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</si>
  <si>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</si>
  <si>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</si>
  <si>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</si>
  <si>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</si>
  <si>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</si>
  <si>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</si>
  <si>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</si>
  <si>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</si>
  <si>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</si>
  <si>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</si>
  <si>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</si>
  <si>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</si>
  <si>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</si>
  <si>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</si>
  <si>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</si>
  <si>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</si>
  <si>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</si>
  <si>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</si>
  <si>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</si>
  <si>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</si>
  <si>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</si>
  <si>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</si>
  <si>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</si>
  <si>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</si>
  <si>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</si>
  <si>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</si>
  <si>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</si>
  <si>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</si>
  <si>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</si>
  <si>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</si>
  <si>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</si>
  <si>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</si>
  <si>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</si>
  <si>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</si>
  <si>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</si>
  <si>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</si>
  <si>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</si>
  <si>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</si>
  <si>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</si>
  <si>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</si>
  <si>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</si>
  <si>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</si>
  <si>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</si>
  <si>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</si>
  <si>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</si>
  <si>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</si>
  <si>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</si>
  <si>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</si>
  <si>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</si>
  <si>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</si>
  <si>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</si>
  <si>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</si>
  <si>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</si>
  <si>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</si>
  <si>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</si>
  <si>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</si>
  <si>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</si>
  <si>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</si>
  <si>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</si>
  <si>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</si>
  <si>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</si>
  <si>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</si>
  <si>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</si>
  <si>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</si>
  <si>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</si>
  <si>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</si>
  <si>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</si>
  <si>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</si>
  <si>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</si>
  <si>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</si>
  <si>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</si>
  <si>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</si>
  <si>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</si>
  <si>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</si>
  <si>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</si>
  <si>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</si>
  <si>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</si>
  <si>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</si>
  <si>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</si>
  <si>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</si>
  <si>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</si>
  <si>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</si>
  <si>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</si>
  <si>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</si>
  <si>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</si>
  <si>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</si>
  <si>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</si>
  <si>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</si>
  <si>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</si>
  <si>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</si>
  <si>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</si>
  <si>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</si>
  <si>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</si>
  <si>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</si>
  <si>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</si>
  <si>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</si>
  <si>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</si>
  <si>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</si>
  <si>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</si>
  <si>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</si>
  <si>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</si>
  <si>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</si>
  <si>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</si>
  <si>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</si>
  <si>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</si>
  <si>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</si>
  <si>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</si>
  <si>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</si>
  <si>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</si>
  <si>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</si>
  <si>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</si>
  <si>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</si>
  <si>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</si>
  <si>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</si>
  <si>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</si>
  <si>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</si>
  <si>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</si>
  <si>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</si>
  <si>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</si>
  <si>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</si>
  <si>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</si>
  <si>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</si>
  <si>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</si>
  <si>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</si>
  <si>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</si>
  <si>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</si>
  <si>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</si>
  <si>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</si>
  <si>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</si>
  <si>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</si>
  <si>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</si>
  <si>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</si>
  <si>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</si>
  <si>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</si>
  <si>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</si>
  <si>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</si>
  <si>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</si>
  <si>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</si>
  <si>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</si>
  <si>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</si>
  <si>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</si>
  <si>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</si>
  <si>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</si>
  <si>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</si>
  <si>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</si>
  <si>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</si>
  <si>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</si>
  <si>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</si>
  <si>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</si>
  <si>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</si>
  <si>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</si>
  <si>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</si>
  <si>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</si>
  <si>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</si>
  <si>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</si>
  <si>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</si>
  <si>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</si>
  <si>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</si>
  <si>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</si>
  <si>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</si>
  <si>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</si>
  <si>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</si>
  <si>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</si>
  <si>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</si>
  <si>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</si>
  <si>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</si>
  <si>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</si>
  <si>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</si>
  <si>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</si>
  <si>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</si>
  <si>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</si>
  <si>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</si>
  <si>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</si>
  <si>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</si>
  <si>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</si>
  <si>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</si>
  <si>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</si>
  <si>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</si>
  <si>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</si>
  <si>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</si>
  <si>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</si>
  <si>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</si>
  <si>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</si>
  <si>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</si>
  <si>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</si>
  <si>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</si>
  <si>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</si>
  <si>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</si>
  <si>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</si>
  <si>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</si>
  <si>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</si>
  <si>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</si>
  <si>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</si>
  <si>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</si>
  <si>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</si>
  <si>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</si>
  <si>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</si>
  <si>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</si>
  <si>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</si>
  <si>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</si>
  <si>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</si>
  <si>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</si>
  <si>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</si>
  <si>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</si>
  <si>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</si>
  <si>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</si>
  <si>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</si>
  <si>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</si>
  <si>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</si>
  <si>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</si>
  <si>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</si>
  <si>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</si>
  <si>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</si>
  <si>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</si>
  <si>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</si>
  <si>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</si>
  <si>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</si>
  <si>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</si>
  <si>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</si>
  <si>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</si>
  <si>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</si>
  <si>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</si>
  <si>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</si>
  <si>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</si>
  <si>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</si>
  <si>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</si>
  <si>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</si>
  <si>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</si>
  <si>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</si>
  <si>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</si>
  <si>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</si>
  <si>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</si>
  <si>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</si>
  <si>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</si>
  <si>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</si>
  <si>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</si>
  <si>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</si>
  <si>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</si>
  <si>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</si>
  <si>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</si>
  <si>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</si>
  <si>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</si>
  <si>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</si>
  <si>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</si>
  <si>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</si>
  <si>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</si>
  <si>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</si>
  <si>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</si>
  <si>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</si>
  <si>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</si>
  <si>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</si>
  <si>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</si>
  <si>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</si>
  <si>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</si>
  <si>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</si>
  <si>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</si>
  <si>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</si>
  <si>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</si>
  <si>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</si>
  <si>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</si>
  <si>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</si>
  <si>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</si>
  <si>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</si>
  <si>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</si>
  <si>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</si>
  <si>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</si>
  <si>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</si>
  <si>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</si>
  <si>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</si>
  <si>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</si>
  <si>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</si>
  <si>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</si>
  <si>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</si>
  <si>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</si>
  <si>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</si>
  <si>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</si>
  <si>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</si>
  <si>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</si>
  <si>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</si>
  <si>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</si>
  <si>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</si>
  <si>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</si>
  <si>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</si>
  <si>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</si>
  <si>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</si>
  <si>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</si>
  <si>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</si>
  <si>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</si>
  <si>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</si>
  <si>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</si>
  <si>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</si>
  <si>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</si>
  <si>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</si>
  <si>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</si>
  <si>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</si>
  <si>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</si>
  <si>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</si>
  <si>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</si>
  <si>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</si>
  <si>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</si>
  <si>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</si>
  <si>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</si>
  <si>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</si>
  <si>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</si>
  <si>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</si>
  <si>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</si>
  <si>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</si>
  <si>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</si>
  <si>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</si>
  <si>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</si>
  <si>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</si>
  <si>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</si>
  <si>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</si>
  <si>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</si>
  <si>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</si>
  <si>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</si>
  <si>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</si>
  <si>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</si>
  <si>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</si>
  <si>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</si>
  <si>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</si>
  <si>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</si>
  <si>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</si>
  <si>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</si>
  <si>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</si>
  <si>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</si>
  <si>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</si>
  <si>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</si>
  <si>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</si>
  <si>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</si>
  <si>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</si>
  <si>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</si>
  <si>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</si>
  <si>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</si>
  <si>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</si>
  <si>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</si>
  <si>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</si>
  <si>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</si>
  <si>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</si>
  <si>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</si>
  <si>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</si>
  <si>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</si>
  <si>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</si>
  <si>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</si>
  <si>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</si>
  <si>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</si>
  <si>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</si>
  <si>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</si>
  <si>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</si>
  <si>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</si>
  <si>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</si>
  <si>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</si>
  <si>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</si>
  <si>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</si>
  <si>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</si>
  <si>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</si>
  <si>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</si>
  <si>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</si>
  <si>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</si>
  <si>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</si>
  <si>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</si>
  <si>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</si>
  <si>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</si>
  <si>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</si>
  <si>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</si>
  <si>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</si>
  <si>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</si>
  <si>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</si>
  <si>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</si>
  <si>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</si>
  <si>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</si>
  <si>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</si>
  <si>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</si>
  <si>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</si>
  <si>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</si>
  <si>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</si>
  <si>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</si>
  <si>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</si>
  <si>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</si>
  <si>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</si>
  <si>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</si>
  <si>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</si>
  <si>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</si>
  <si>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</si>
  <si>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</si>
  <si>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</si>
  <si>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</si>
  <si>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</si>
  <si>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</si>
  <si>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</si>
  <si>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</si>
  <si>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</si>
  <si>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</si>
  <si>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</si>
  <si>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</si>
  <si>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</si>
  <si>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</si>
  <si>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</si>
  <si>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</si>
  <si>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</si>
  <si>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</si>
  <si>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</si>
  <si>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</si>
  <si>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</si>
  <si>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</si>
  <si>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</si>
  <si>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</si>
  <si>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</si>
  <si>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</si>
  <si>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</si>
  <si>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</si>
  <si>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</si>
  <si>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</si>
  <si>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</si>
  <si>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</si>
  <si>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</si>
  <si>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</si>
  <si>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</si>
  <si>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</si>
  <si>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</si>
  <si>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</si>
  <si>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</si>
  <si>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</si>
  <si>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</si>
  <si>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</si>
  <si>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</si>
  <si>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</si>
  <si>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</si>
  <si>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</si>
  <si>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</si>
  <si>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</si>
  <si>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</si>
  <si>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</si>
  <si>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</si>
  <si>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</si>
  <si>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</si>
  <si>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</si>
  <si>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</si>
  <si>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</si>
  <si>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</si>
  <si>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</si>
  <si>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</si>
  <si>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</si>
  <si>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</si>
  <si>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</si>
  <si>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</si>
  <si>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</si>
  <si>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</si>
  <si>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</si>
  <si>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</si>
  <si>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</si>
  <si>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</si>
  <si>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</si>
  <si>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</si>
  <si>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</si>
  <si>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</si>
  <si>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</si>
  <si>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</si>
  <si>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</si>
  <si>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</si>
  <si>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</si>
  <si>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</si>
  <si>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</si>
  <si>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</si>
  <si>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</si>
  <si>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</si>
  <si>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</si>
  <si>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</si>
  <si>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</si>
  <si>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</si>
  <si>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</si>
  <si>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</si>
  <si>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</si>
  <si>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</si>
  <si>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</si>
  <si>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</si>
  <si>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</si>
  <si>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</si>
  <si>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</si>
  <si>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</si>
  <si>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</si>
  <si>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</si>
  <si>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</si>
  <si>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</si>
  <si>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</si>
  <si>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</si>
  <si>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</si>
  <si>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</si>
  <si>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</si>
  <si>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</si>
  <si>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</si>
  <si>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</si>
  <si>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</si>
  <si>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</si>
  <si>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</si>
  <si>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</si>
  <si>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</si>
  <si>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</si>
  <si>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</si>
  <si>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</si>
  <si>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</si>
  <si>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</si>
  <si>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</si>
  <si>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</si>
  <si>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</si>
  <si>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</si>
  <si>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</si>
  <si>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</si>
  <si>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</si>
  <si>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</si>
  <si>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</si>
  <si>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</si>
  <si>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</si>
  <si>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</si>
  <si>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</si>
  <si>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</si>
  <si>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</si>
  <si>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</si>
  <si>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</si>
  <si>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</si>
  <si>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</si>
  <si>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</si>
  <si>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</si>
  <si>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</si>
  <si>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</si>
  <si>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</si>
  <si>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</si>
  <si>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</si>
  <si>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</si>
  <si>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</si>
  <si>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</si>
  <si>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</si>
  <si>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</si>
  <si>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</si>
  <si>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</si>
  <si>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</si>
  <si>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</si>
  <si>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</si>
  <si>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</si>
  <si>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</si>
  <si>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</si>
  <si>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</si>
  <si>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</si>
  <si>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</si>
  <si>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</si>
  <si>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</si>
  <si>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</si>
  <si>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</si>
  <si>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</si>
  <si>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</si>
  <si>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</si>
  <si>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</si>
  <si>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</si>
  <si>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</si>
  <si>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</si>
  <si>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</si>
  <si>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</si>
  <si>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</si>
  <si>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</si>
  <si>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</si>
  <si>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</si>
  <si>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</si>
  <si>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</si>
  <si>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</si>
  <si>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</si>
  <si>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</si>
  <si>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</si>
  <si>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</si>
  <si>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</si>
  <si>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</si>
  <si>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</si>
  <si>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</si>
  <si>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</si>
  <si>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</si>
  <si>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</si>
  <si>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</si>
  <si>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</si>
  <si>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</si>
  <si>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</si>
  <si>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</si>
  <si>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</si>
  <si>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</si>
  <si>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</si>
  <si>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</si>
  <si>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</si>
  <si>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</si>
  <si>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</si>
  <si>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</si>
  <si>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</si>
  <si>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</si>
  <si>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</si>
  <si>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</si>
  <si>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</si>
  <si>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</si>
  <si>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</si>
  <si>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</si>
  <si>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</si>
  <si>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</si>
  <si>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</si>
  <si>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</si>
  <si>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</si>
  <si>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</si>
  <si>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</si>
  <si>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</si>
  <si>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</si>
  <si>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</si>
  <si>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</si>
  <si>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</si>
  <si>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</si>
  <si>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</si>
  <si>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</si>
  <si>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</si>
  <si>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</si>
  <si>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</si>
  <si>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</si>
  <si>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</si>
  <si>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</si>
  <si>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</si>
  <si>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</si>
  <si>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</si>
  <si>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</si>
  <si>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</si>
  <si>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</si>
  <si>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</si>
  <si>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</si>
  <si>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</si>
  <si>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</si>
  <si>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</si>
  <si>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</si>
  <si>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</si>
  <si>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</si>
  <si>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</si>
  <si>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</si>
  <si>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</si>
  <si>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</si>
  <si>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</si>
  <si>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</si>
  <si>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</si>
  <si>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</si>
  <si>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</si>
  <si>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</si>
  <si>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</si>
  <si>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</si>
  <si>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</si>
  <si>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</si>
  <si>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</si>
  <si>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</si>
  <si>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</si>
  <si>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</si>
  <si>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</si>
  <si>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</si>
  <si>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52211079872</t>
  </si>
  <si>
    <t>64125437677</t>
  </si>
  <si>
    <t>03292525</t>
  </si>
  <si>
    <t>040033437</t>
  </si>
  <si>
    <t>PONIKVE VODA d.o.o.Krk</t>
  </si>
  <si>
    <t>Vršanska 14</t>
  </si>
  <si>
    <t xml:space="preserve">ponikve@ponikve.hr </t>
  </si>
  <si>
    <t>051654620</t>
  </si>
  <si>
    <t>ponikve@ponikve.hr</t>
  </si>
  <si>
    <t>Zvjezdana Ponoš</t>
  </si>
  <si>
    <t>zvjezdana.ponos@ponikve.hr</t>
  </si>
  <si>
    <t>me.sc.Ivica Plišićdipl.građ.</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</si>
</sst>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47234390.78</v>
      </c>
      <c r="I3" s="31">
        <f>ABS(ROUND(J3,0)-J3)+ABS(ROUND(K3,0)-K3)</f>
        <v>0</v>
      </c>
      <c r="J3" s="31">
        <f>Bilanca!I10</f>
        <v>737377551</v>
      </c>
      <c r="K3" s="31">
        <f>Bilanca!J10</f>
        <v>812170994</v>
      </c>
    </row>
    <row r="4" spans="1:11" ht="12.75">
      <c r="A4" s="4" t="s">
        <v>1088</v>
      </c>
      <c r="B4" s="29" t="s">
        <v>1888</v>
      </c>
      <c r="D4" s="4" t="s">
        <v>1521</v>
      </c>
      <c r="E4" s="4">
        <v>1</v>
      </c>
      <c r="F4" s="4">
        <f>Bilanca!G11</f>
        <v>3</v>
      </c>
      <c r="G4" s="4">
        <f>IF(Bilanca!H11=0,"",Bilanca!H11)</f>
      </c>
      <c r="H4" s="30">
        <f>J4/100*F4+2*K4/100*F4</f>
        <v>180879.54</v>
      </c>
      <c r="I4" s="31">
        <f>ABS(ROUND(J4,0)-J4)+ABS(ROUND(K4,0)-K4)</f>
        <v>0</v>
      </c>
      <c r="J4" s="31">
        <f>Bilanca!I11</f>
        <v>2200746</v>
      </c>
      <c r="K4" s="31">
        <f>Bilanca!J11</f>
        <v>1914286</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03292525</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040033437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64125437677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PONIKVE VODA d.o.o.Krk</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51500</v>
      </c>
      <c r="D10" s="4" t="s">
        <v>1521</v>
      </c>
      <c r="E10" s="4">
        <v>1</v>
      </c>
      <c r="F10" s="4">
        <f>Bilanca!G17</f>
        <v>9</v>
      </c>
      <c r="G10" s="4">
        <f>IF(Bilanca!H17=0,"",Bilanca!H17)</f>
      </c>
      <c r="H10" s="30">
        <f t="shared" si="0"/>
        <v>542638.62</v>
      </c>
      <c r="I10" s="31">
        <f t="shared" si="1"/>
        <v>0</v>
      </c>
      <c r="J10" s="31">
        <f>Bilanca!I17</f>
        <v>2200746</v>
      </c>
      <c r="K10" s="31">
        <f>Bilanca!J17</f>
        <v>1914286</v>
      </c>
    </row>
    <row r="11" spans="1:11" ht="12.75">
      <c r="A11" s="4" t="s">
        <v>2356</v>
      </c>
      <c r="B11" s="29" t="str">
        <f>TRIM(RefStr!F31)</f>
        <v>Krk</v>
      </c>
      <c r="D11" s="4" t="s">
        <v>1521</v>
      </c>
      <c r="E11" s="4">
        <v>1</v>
      </c>
      <c r="F11" s="4">
        <f>Bilanca!G18</f>
        <v>10</v>
      </c>
      <c r="G11" s="4">
        <f>IF(Bilanca!H18=0,"",Bilanca!H18)</f>
      </c>
      <c r="H11" s="30">
        <f t="shared" si="0"/>
        <v>235366942.1</v>
      </c>
      <c r="I11" s="31">
        <f t="shared" si="1"/>
        <v>0</v>
      </c>
      <c r="J11" s="31">
        <f>Bilanca!I18</f>
        <v>734503205</v>
      </c>
      <c r="K11" s="31">
        <f>Bilanca!J18</f>
        <v>809583108</v>
      </c>
    </row>
    <row r="12" spans="1:11" ht="12.75">
      <c r="A12" s="4" t="s">
        <v>2357</v>
      </c>
      <c r="B12" s="29" t="str">
        <f>TRIM(RefStr!C33)</f>
        <v>Vršanska 14</v>
      </c>
      <c r="D12" s="4" t="s">
        <v>1521</v>
      </c>
      <c r="E12" s="4">
        <v>1</v>
      </c>
      <c r="F12" s="4">
        <f>Bilanca!G19</f>
        <v>11</v>
      </c>
      <c r="G12" s="4">
        <f>IF(Bilanca!H19=0,"",Bilanca!H19)</f>
      </c>
      <c r="H12" s="30">
        <f t="shared" si="0"/>
        <v>3959295.0100000002</v>
      </c>
      <c r="I12" s="31">
        <f t="shared" si="1"/>
        <v>0</v>
      </c>
      <c r="J12" s="31">
        <f>Bilanca!I19</f>
        <v>12132621</v>
      </c>
      <c r="K12" s="31">
        <f>Bilanca!J19</f>
        <v>11930485</v>
      </c>
    </row>
    <row r="13" spans="1:11" ht="12.75">
      <c r="A13" s="4" t="s">
        <v>1193</v>
      </c>
      <c r="B13" s="29" t="str">
        <f>TRIM(RefStr!C35)</f>
        <v>ponikve@ponikve.hr</v>
      </c>
      <c r="D13" s="4" t="s">
        <v>1521</v>
      </c>
      <c r="E13" s="4">
        <v>1</v>
      </c>
      <c r="F13" s="4">
        <f>Bilanca!G20</f>
        <v>12</v>
      </c>
      <c r="G13" s="4">
        <f>IF(Bilanca!H20=0,"",Bilanca!H20)</f>
      </c>
      <c r="H13" s="30">
        <f t="shared" si="0"/>
        <v>180885827.64000002</v>
      </c>
      <c r="I13" s="31">
        <f t="shared" si="1"/>
        <v>0</v>
      </c>
      <c r="J13" s="31">
        <f>Bilanca!I20</f>
        <v>500838415</v>
      </c>
      <c r="K13" s="31">
        <f>Bilanca!J20</f>
        <v>503271741</v>
      </c>
    </row>
    <row r="14" spans="1:11" ht="12.75">
      <c r="A14" s="4" t="s">
        <v>1194</v>
      </c>
      <c r="B14" s="29" t="str">
        <f>TRIM(RefStr!C37)</f>
        <v>ponikve@ponikve.hr</v>
      </c>
      <c r="D14" s="4" t="s">
        <v>1521</v>
      </c>
      <c r="E14" s="4">
        <v>1</v>
      </c>
      <c r="F14" s="4">
        <f>Bilanca!G21</f>
        <v>13</v>
      </c>
      <c r="G14" s="4">
        <f>IF(Bilanca!H21=0,"",Bilanca!H21)</f>
      </c>
      <c r="H14" s="30">
        <f t="shared" si="0"/>
        <v>6608613.57</v>
      </c>
      <c r="I14" s="31">
        <f t="shared" si="1"/>
        <v>0</v>
      </c>
      <c r="J14" s="31">
        <f>Bilanca!I21</f>
        <v>18207557</v>
      </c>
      <c r="K14" s="31">
        <f>Bilanca!J21</f>
        <v>16313966</v>
      </c>
    </row>
    <row r="15" spans="1:11" ht="12.75">
      <c r="A15" s="4" t="s">
        <v>2360</v>
      </c>
      <c r="B15" s="29" t="str">
        <f>TEXT(RefStr!J39,"00")</f>
        <v>08</v>
      </c>
      <c r="D15" s="4" t="s">
        <v>1521</v>
      </c>
      <c r="E15" s="4">
        <v>1</v>
      </c>
      <c r="F15" s="4">
        <f>Bilanca!G22</f>
        <v>14</v>
      </c>
      <c r="G15" s="4">
        <f>IF(Bilanca!H22=0,"",Bilanca!H22)</f>
      </c>
      <c r="H15" s="30">
        <f t="shared" si="0"/>
        <v>2391807.04</v>
      </c>
      <c r="I15" s="31">
        <f t="shared" si="1"/>
        <v>0</v>
      </c>
      <c r="J15" s="31">
        <f>Bilanca!I22</f>
        <v>6144008</v>
      </c>
      <c r="K15" s="31">
        <f>Bilanca!J22</f>
        <v>5470164</v>
      </c>
    </row>
    <row r="16" spans="1:11" ht="12.75">
      <c r="A16" s="4" t="s">
        <v>2359</v>
      </c>
      <c r="B16" s="29" t="str">
        <f>TEXT(RefStr!C39,"000")</f>
        <v>215</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2895038.7199999997</v>
      </c>
      <c r="I17" s="31">
        <f t="shared" si="1"/>
        <v>0</v>
      </c>
      <c r="J17" s="31">
        <f>Bilanca!I24</f>
        <v>6157850</v>
      </c>
      <c r="K17" s="31">
        <f>Bilanca!J24</f>
        <v>5968071</v>
      </c>
    </row>
    <row r="18" spans="1:11" ht="12.75">
      <c r="A18" s="4" t="s">
        <v>1195</v>
      </c>
      <c r="B18" s="29" t="str">
        <f>IF(RefStr!C21&lt;&gt;"",RefStr!C21,"")</f>
        <v>NE</v>
      </c>
      <c r="D18" s="4" t="s">
        <v>1521</v>
      </c>
      <c r="E18" s="4">
        <v>1</v>
      </c>
      <c r="F18" s="4">
        <f>Bilanca!G25</f>
        <v>17</v>
      </c>
      <c r="G18" s="4">
        <f>IF(Bilanca!H25=0,"",Bilanca!H25)</f>
      </c>
      <c r="H18" s="30">
        <f t="shared" si="0"/>
        <v>123127619.72</v>
      </c>
      <c r="I18" s="31">
        <f t="shared" si="1"/>
        <v>0</v>
      </c>
      <c r="J18" s="31">
        <f>Bilanca!I25</f>
        <v>191022754</v>
      </c>
      <c r="K18" s="31">
        <f>Bilanca!J25</f>
        <v>266628681</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404160</v>
      </c>
      <c r="I21" s="31">
        <f t="shared" si="1"/>
        <v>0</v>
      </c>
      <c r="J21" s="31">
        <f>Bilanca!I28</f>
        <v>673600</v>
      </c>
      <c r="K21" s="31">
        <f>Bilanca!J28</f>
        <v>673600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91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89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92</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93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606240</v>
      </c>
      <c r="I31" s="31">
        <f t="shared" si="1"/>
        <v>0</v>
      </c>
      <c r="J31" s="31">
        <f>Bilanca!I38</f>
        <v>673600</v>
      </c>
      <c r="K31" s="31">
        <f>Bilanca!J38</f>
        <v>673600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31808953.279999997</v>
      </c>
      <c r="I38" s="31">
        <f t="shared" si="1"/>
        <v>0</v>
      </c>
      <c r="J38" s="31">
        <f>Bilanca!I45</f>
        <v>24562796</v>
      </c>
      <c r="K38" s="31">
        <f>Bilanca!J45</f>
        <v>30703674</v>
      </c>
    </row>
    <row r="39" spans="1:11" ht="12.75">
      <c r="A39" s="4" t="s">
        <v>1216</v>
      </c>
      <c r="B39" s="29" t="str">
        <f>RefStr!C68</f>
        <v>Zvjezdana Ponoš</v>
      </c>
      <c r="D39" s="4" t="s">
        <v>1521</v>
      </c>
      <c r="E39" s="4">
        <v>1</v>
      </c>
      <c r="F39" s="4">
        <f>Bilanca!G46</f>
        <v>38</v>
      </c>
      <c r="G39" s="4">
        <f>IF(Bilanca!H46=0,"",Bilanca!H46)</f>
      </c>
      <c r="H39" s="30">
        <f t="shared" si="0"/>
        <v>3449945.1399999997</v>
      </c>
      <c r="I39" s="31">
        <f t="shared" si="1"/>
        <v>0</v>
      </c>
      <c r="J39" s="31">
        <f>Bilanca!I46</f>
        <v>3625395</v>
      </c>
      <c r="K39" s="31">
        <f>Bilanca!J46</f>
        <v>2726704</v>
      </c>
    </row>
    <row r="40" spans="1:11" ht="12.75">
      <c r="A40" s="4" t="s">
        <v>1217</v>
      </c>
      <c r="B40" s="29" t="str">
        <f>TRIM(RefStr!C70)</f>
        <v>051654620</v>
      </c>
      <c r="D40" s="4" t="s">
        <v>1521</v>
      </c>
      <c r="E40" s="4">
        <v>1</v>
      </c>
      <c r="F40" s="4">
        <f>Bilanca!G47</f>
        <v>39</v>
      </c>
      <c r="G40" s="4">
        <f>IF(Bilanca!H47=0,"",Bilanca!H47)</f>
      </c>
      <c r="H40" s="30">
        <f t="shared" si="0"/>
        <v>3524142.96</v>
      </c>
      <c r="I40" s="31">
        <f t="shared" si="1"/>
        <v>0</v>
      </c>
      <c r="J40" s="31">
        <f>Bilanca!I47</f>
        <v>3609446</v>
      </c>
      <c r="K40" s="31">
        <f>Bilanca!J47</f>
        <v>2713409</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zvjezdana.ponos@ponikve.hr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me.sc.Ivica Plišićdipl.građ.</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18291.77</v>
      </c>
      <c r="I44" s="31">
        <f t="shared" si="1"/>
        <v>0</v>
      </c>
      <c r="J44" s="31">
        <f>Bilanca!I51</f>
        <v>15949</v>
      </c>
      <c r="K44" s="31">
        <f>Bilanca!J51</f>
        <v>13295</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14216518.040000001</v>
      </c>
      <c r="I47" s="31">
        <f t="shared" si="3"/>
        <v>0</v>
      </c>
      <c r="J47" s="31">
        <f>Bilanca!I54</f>
        <v>9607632</v>
      </c>
      <c r="K47" s="31">
        <f>Bilanca!J54</f>
        <v>10648921</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DA</v>
      </c>
      <c r="D50" s="4" t="s">
        <v>1521</v>
      </c>
      <c r="E50" s="4">
        <v>1</v>
      </c>
      <c r="F50" s="4">
        <f>Bilanca!G57</f>
        <v>49</v>
      </c>
      <c r="G50" s="4">
        <f>IF(Bilanca!H57=0,"",Bilanca!H57)</f>
      </c>
      <c r="H50" s="30">
        <f t="shared" si="2"/>
        <v>14454181.21</v>
      </c>
      <c r="I50" s="31">
        <f t="shared" si="3"/>
        <v>0</v>
      </c>
      <c r="J50" s="31">
        <f>Bilanca!I57</f>
        <v>9016491</v>
      </c>
      <c r="K50" s="31">
        <f>Bilanca!J57</f>
        <v>10240919</v>
      </c>
    </row>
    <row r="51" spans="1:11" ht="12.75">
      <c r="A51" s="4" t="s">
        <v>288</v>
      </c>
      <c r="B51" s="29" t="str">
        <f>RefStr!I60</f>
        <v>DA</v>
      </c>
      <c r="D51" s="4" t="s">
        <v>1521</v>
      </c>
      <c r="E51" s="4">
        <v>1</v>
      </c>
      <c r="F51" s="4">
        <f>Bilanca!G58</f>
        <v>50</v>
      </c>
      <c r="G51" s="4">
        <f>IF(Bilanca!H58=0,"",Bilanca!H58)</f>
      </c>
      <c r="H51" s="30">
        <f t="shared" si="2"/>
        <v>4416.5</v>
      </c>
      <c r="I51" s="31">
        <f t="shared" si="3"/>
        <v>0</v>
      </c>
      <c r="J51" s="31">
        <f>Bilanca!I58</f>
        <v>5833</v>
      </c>
      <c r="K51" s="31">
        <f>Bilanca!J58</f>
        <v>1500</v>
      </c>
    </row>
    <row r="52" spans="1:11" ht="12.75">
      <c r="A52" s="4" t="s">
        <v>1219</v>
      </c>
      <c r="B52" s="29" t="s">
        <v>2619</v>
      </c>
      <c r="D52" s="4" t="s">
        <v>1521</v>
      </c>
      <c r="E52" s="4">
        <v>1</v>
      </c>
      <c r="F52" s="4">
        <f>Bilanca!G59</f>
        <v>51</v>
      </c>
      <c r="G52" s="4">
        <f>IF(Bilanca!H59=0,"",Bilanca!H59)</f>
      </c>
      <c r="H52" s="30">
        <f t="shared" si="2"/>
        <v>100278.75</v>
      </c>
      <c r="I52" s="31">
        <f t="shared" si="3"/>
        <v>0</v>
      </c>
      <c r="J52" s="31">
        <f>Bilanca!I59</f>
        <v>81421</v>
      </c>
      <c r="K52" s="31">
        <f>Bilanca!J59</f>
        <v>57602</v>
      </c>
    </row>
    <row r="53" spans="1:11" ht="12.75">
      <c r="A53" s="4" t="s">
        <v>532</v>
      </c>
      <c r="B53" s="29" t="str">
        <f>RefStr!I56</f>
        <v>DA</v>
      </c>
      <c r="D53" s="4" t="s">
        <v>1521</v>
      </c>
      <c r="E53" s="4">
        <v>1</v>
      </c>
      <c r="F53" s="4">
        <f>Bilanca!G60</f>
        <v>52</v>
      </c>
      <c r="G53" s="4">
        <f>IF(Bilanca!H60=0,"",Bilanca!H60)</f>
      </c>
      <c r="H53" s="30">
        <f t="shared" si="2"/>
        <v>624877.24</v>
      </c>
      <c r="I53" s="31">
        <f t="shared" si="3"/>
        <v>0</v>
      </c>
      <c r="J53" s="31">
        <f>Bilanca!I60</f>
        <v>503887</v>
      </c>
      <c r="K53" s="31">
        <f>Bilanca!J60</f>
        <v>348900</v>
      </c>
    </row>
    <row r="54" spans="1:11" ht="12.75">
      <c r="A54" s="4" t="s">
        <v>533</v>
      </c>
      <c r="B54" s="29" t="str">
        <f>RefStr!I62</f>
        <v>DA</v>
      </c>
      <c r="D54" s="4" t="s">
        <v>1521</v>
      </c>
      <c r="E54" s="4">
        <v>1</v>
      </c>
      <c r="F54" s="4">
        <f>Bilanca!G61</f>
        <v>53</v>
      </c>
      <c r="G54" s="4">
        <f>IF(Bilanca!H61=0,"",Bilanca!H61)</f>
      </c>
      <c r="H54" s="30">
        <f t="shared" si="2"/>
        <v>2240078.92</v>
      </c>
      <c r="I54" s="31">
        <f t="shared" si="3"/>
        <v>0</v>
      </c>
      <c r="J54" s="31">
        <f>Bilanca!I61</f>
        <v>1395136</v>
      </c>
      <c r="K54" s="31">
        <f>Bilanca!J61</f>
        <v>1415714</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15065829640.349998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2578204.04</v>
      </c>
      <c r="I62" s="31">
        <f t="shared" si="3"/>
        <v>0</v>
      </c>
      <c r="J62" s="31">
        <f>Bilanca!I69</f>
        <v>1395136</v>
      </c>
      <c r="K62" s="31">
        <f>Bilanca!J69</f>
        <v>1415714</v>
      </c>
    </row>
    <row r="63" spans="1:11" ht="12.75">
      <c r="A63" s="4" t="s">
        <v>777</v>
      </c>
      <c r="B63" s="29" t="str">
        <f>IF(ISNUMBER(VALUE(RefStr!L21)),TEXT(INT(VALUE(RefStr!L21)),"00000000000"),"")</f>
        <v>52211079872</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26308360.89</v>
      </c>
      <c r="I64" s="31">
        <f t="shared" si="3"/>
        <v>0</v>
      </c>
      <c r="J64" s="31">
        <f>Bilanca!I71</f>
        <v>9934633</v>
      </c>
      <c r="K64" s="31">
        <f>Bilanca!J71</f>
        <v>15912335</v>
      </c>
    </row>
    <row r="65" spans="1:11" ht="12.75">
      <c r="A65" s="4" t="s">
        <v>687</v>
      </c>
      <c r="B65" s="29" t="str">
        <f>RefStr!N19</f>
        <v>HSFI</v>
      </c>
      <c r="D65" s="4" t="s">
        <v>1521</v>
      </c>
      <c r="E65" s="4">
        <v>1</v>
      </c>
      <c r="F65" s="4">
        <f>Bilanca!G72</f>
        <v>64</v>
      </c>
      <c r="G65" s="4">
        <f>IF(Bilanca!H72=0,"",Bilanca!H72)</f>
      </c>
      <c r="H65" s="30">
        <f t="shared" si="2"/>
        <v>1276566.4</v>
      </c>
      <c r="I65" s="31">
        <f t="shared" si="3"/>
        <v>0</v>
      </c>
      <c r="J65" s="31">
        <f>Bilanca!I72</f>
        <v>457407</v>
      </c>
      <c r="K65" s="31">
        <f>Bilanca!J72</f>
        <v>768614</v>
      </c>
    </row>
    <row r="66" spans="1:11" ht="12.75">
      <c r="A66" s="4" t="s">
        <v>688</v>
      </c>
      <c r="B66" s="29">
        <f>RefStr!C23</f>
        <v>1</v>
      </c>
      <c r="D66" s="4" t="s">
        <v>1521</v>
      </c>
      <c r="E66" s="4">
        <v>1</v>
      </c>
      <c r="F66" s="4">
        <f>Bilanca!G73</f>
        <v>65</v>
      </c>
      <c r="G66" s="4">
        <f>IF(Bilanca!H73=0,"",Bilanca!H73)</f>
      </c>
      <c r="H66" s="30">
        <f t="shared" si="2"/>
        <v>1592294806.7000003</v>
      </c>
      <c r="I66" s="31">
        <f t="shared" si="3"/>
        <v>0</v>
      </c>
      <c r="J66" s="31">
        <f>Bilanca!I73</f>
        <v>762397754</v>
      </c>
      <c r="K66" s="31">
        <f>Bilanca!J73</f>
        <v>843643282</v>
      </c>
    </row>
    <row r="67" spans="1:11" ht="12.75">
      <c r="A67" s="4" t="s">
        <v>689</v>
      </c>
      <c r="B67" s="29" t="str">
        <f>RefStr!L35</f>
        <v>051654620</v>
      </c>
      <c r="D67" s="4" t="s">
        <v>1521</v>
      </c>
      <c r="E67" s="4">
        <v>1</v>
      </c>
      <c r="F67" s="4">
        <f>Bilanca!G74</f>
        <v>66</v>
      </c>
      <c r="G67" s="4">
        <f>IF(Bilanca!H74=0,"",Bilanca!H74)</f>
      </c>
      <c r="H67" s="30">
        <f t="shared" si="2"/>
        <v>455134688.58</v>
      </c>
      <c r="I67" s="31">
        <f t="shared" si="3"/>
        <v>0</v>
      </c>
      <c r="J67" s="31">
        <f>Bilanca!I74</f>
        <v>216467463</v>
      </c>
      <c r="K67" s="31">
        <f>Bilanca!J74</f>
        <v>236565275</v>
      </c>
    </row>
    <row r="68" spans="1:11" ht="12.75">
      <c r="A68" s="4" t="s">
        <v>690</v>
      </c>
      <c r="B68" s="29">
        <f>RefStr!C44</f>
        <v>1</v>
      </c>
      <c r="D68" s="4" t="s">
        <v>1521</v>
      </c>
      <c r="E68" s="4">
        <v>1</v>
      </c>
      <c r="F68" s="4">
        <f>Bilanca!G76</f>
        <v>67</v>
      </c>
      <c r="G68" s="4">
        <f>IF(Bilanca!H76=0,"",Bilanca!H76)</f>
      </c>
      <c r="H68" s="30">
        <f t="shared" si="2"/>
        <v>768981007.49</v>
      </c>
      <c r="I68" s="31">
        <f t="shared" si="3"/>
        <v>0</v>
      </c>
      <c r="J68" s="31">
        <f>Bilanca!I76</f>
        <v>382847085</v>
      </c>
      <c r="K68" s="31">
        <f>Bilanca!J76</f>
        <v>382442881</v>
      </c>
    </row>
    <row r="69" spans="1:11" ht="12.75">
      <c r="A69" s="4" t="s">
        <v>691</v>
      </c>
      <c r="B69" s="29">
        <f>RefStr!M46</f>
        <v>0</v>
      </c>
      <c r="D69" s="4" t="s">
        <v>1521</v>
      </c>
      <c r="E69" s="4">
        <v>1</v>
      </c>
      <c r="F69" s="4">
        <f>Bilanca!G77</f>
        <v>68</v>
      </c>
      <c r="G69" s="4">
        <f>IF(Bilanca!H77=0,"",Bilanca!H77)</f>
      </c>
      <c r="H69" s="30">
        <f t="shared" si="2"/>
        <v>657686208</v>
      </c>
      <c r="I69" s="31">
        <f t="shared" si="3"/>
        <v>0</v>
      </c>
      <c r="J69" s="31">
        <f>Bilanca!I77</f>
        <v>322395200</v>
      </c>
      <c r="K69" s="31">
        <f>Bilanca!J77</f>
        <v>322395200</v>
      </c>
    </row>
    <row r="70" spans="1:11" ht="12.75">
      <c r="A70" s="4" t="s">
        <v>692</v>
      </c>
      <c r="B70" s="29">
        <f>RefStr!C46</f>
        <v>0</v>
      </c>
      <c r="D70" s="4" t="s">
        <v>1521</v>
      </c>
      <c r="E70" s="4">
        <v>1</v>
      </c>
      <c r="F70" s="4">
        <f>Bilanca!G78</f>
        <v>69</v>
      </c>
      <c r="G70" s="4">
        <f>IF(Bilanca!H78=0,"",Bilanca!H78)</f>
      </c>
      <c r="H70" s="30">
        <f t="shared" si="2"/>
        <v>117227411.31</v>
      </c>
      <c r="I70" s="31">
        <f t="shared" si="3"/>
        <v>0</v>
      </c>
      <c r="J70" s="31">
        <f>Bilanca!I78</f>
        <v>56068095</v>
      </c>
      <c r="K70" s="31">
        <f>Bilanca!J78</f>
        <v>56913352</v>
      </c>
    </row>
    <row r="71" spans="4:11" ht="12.75">
      <c r="D71" s="4" t="s">
        <v>1521</v>
      </c>
      <c r="E71" s="4">
        <v>1</v>
      </c>
      <c r="F71" s="4">
        <f>Bilanca!G79</f>
        <v>70</v>
      </c>
      <c r="G71" s="4">
        <f>IF(Bilanca!H79=0,"",Bilanca!H79)</f>
      </c>
      <c r="H71" s="30">
        <f t="shared" si="2"/>
        <v>1803.8999999999999</v>
      </c>
      <c r="I71" s="31">
        <f t="shared" si="3"/>
        <v>0</v>
      </c>
      <c r="J71" s="31">
        <f>Bilanca!I79</f>
        <v>859</v>
      </c>
      <c r="K71" s="31">
        <f>Bilanca!J79</f>
        <v>859</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1932.75</v>
      </c>
      <c r="I76" s="31">
        <f t="shared" si="3"/>
        <v>0</v>
      </c>
      <c r="J76" s="31">
        <f>Bilanca!I84</f>
        <v>859</v>
      </c>
      <c r="K76" s="31">
        <f>Bilanca!J84</f>
        <v>859</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10651909.05</v>
      </c>
      <c r="I82" s="31">
        <f t="shared" si="3"/>
        <v>0</v>
      </c>
      <c r="J82" s="31">
        <f>Bilanca!I90</f>
        <v>4384643</v>
      </c>
      <c r="K82" s="31">
        <f>Bilanca!J90</f>
        <v>4382931</v>
      </c>
    </row>
    <row r="83" spans="4:11" ht="12.75">
      <c r="D83" s="4" t="s">
        <v>1521</v>
      </c>
      <c r="E83" s="4">
        <v>1</v>
      </c>
      <c r="F83" s="4">
        <f>Bilanca!G91</f>
        <v>82</v>
      </c>
      <c r="G83" s="4">
        <f>IF(Bilanca!H91=0,"",Bilanca!H91)</f>
      </c>
      <c r="H83" s="30">
        <f t="shared" si="2"/>
        <v>10783414.1</v>
      </c>
      <c r="I83" s="31">
        <f t="shared" si="3"/>
        <v>0</v>
      </c>
      <c r="J83" s="31">
        <f>Bilanca!I91</f>
        <v>4384643</v>
      </c>
      <c r="K83" s="31">
        <f>Bilanca!J91</f>
        <v>4382931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-2100532.56</v>
      </c>
      <c r="I85" s="31">
        <f>ABS(ROUND(J85,0)-J85)+ABS(ROUND(K85,0)-K85)</f>
        <v>0</v>
      </c>
      <c r="J85" s="31">
        <f>Bilanca!I93</f>
        <v>-1712</v>
      </c>
      <c r="K85" s="31">
        <f>Bilanca!J93</f>
        <v>-1249461</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2150545.2399999998</v>
      </c>
      <c r="I87" s="31">
        <f aca="true" t="shared" si="5" ref="I87:I127">ABS(ROUND(J87,0)-J87)+ABS(ROUND(K87,0)-K87)</f>
        <v>0</v>
      </c>
      <c r="J87" s="31">
        <f>Bilanca!I95</f>
        <v>1712</v>
      </c>
      <c r="K87" s="31">
        <f>Bilanca!J95</f>
        <v>1249461</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162276341.9</v>
      </c>
      <c r="I96" s="31">
        <f t="shared" si="5"/>
        <v>0</v>
      </c>
      <c r="J96" s="31">
        <f>Bilanca!I104</f>
        <v>46611544</v>
      </c>
      <c r="K96" s="31">
        <f>Bilanca!J104</f>
        <v>62102829</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172525374.02</v>
      </c>
      <c r="I102" s="31">
        <f t="shared" si="5"/>
        <v>0</v>
      </c>
      <c r="J102" s="31">
        <f>Bilanca!I110</f>
        <v>46611544</v>
      </c>
      <c r="K102" s="31">
        <f>Bilanca!J110</f>
        <v>62102829</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137490174.3</v>
      </c>
      <c r="I108" s="31">
        <f t="shared" si="5"/>
        <v>0</v>
      </c>
      <c r="J108" s="31">
        <f>Bilanca!I116</f>
        <v>25136942</v>
      </c>
      <c r="K108" s="31">
        <f>Bilanca!J116</f>
        <v>51679274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1001568.96</v>
      </c>
      <c r="I113" s="31">
        <f t="shared" si="5"/>
        <v>0</v>
      </c>
      <c r="J113" s="31">
        <f>Bilanca!I121</f>
        <v>50000</v>
      </c>
      <c r="K113" s="31">
        <f>Bilanca!J121</f>
        <v>422129</v>
      </c>
    </row>
    <row r="114" spans="4:11" ht="12.75">
      <c r="D114" s="4" t="s">
        <v>1521</v>
      </c>
      <c r="E114" s="4">
        <v>1</v>
      </c>
      <c r="F114" s="4">
        <f>Bilanca!G122</f>
        <v>113</v>
      </c>
      <c r="G114" s="4">
        <f>IF(Bilanca!H122=0,"",Bilanca!H122)</f>
      </c>
      <c r="H114" s="30">
        <f t="shared" si="4"/>
        <v>16386971.850000001</v>
      </c>
      <c r="I114" s="31">
        <f t="shared" si="5"/>
        <v>0</v>
      </c>
      <c r="J114" s="31">
        <f>Bilanca!I122</f>
        <v>4849335</v>
      </c>
      <c r="K114" s="31">
        <f>Bilanca!J122</f>
        <v>4826205</v>
      </c>
    </row>
    <row r="115" spans="4:11" ht="12.75">
      <c r="D115" s="4" t="s">
        <v>1521</v>
      </c>
      <c r="E115" s="4">
        <v>1</v>
      </c>
      <c r="F115" s="4">
        <f>Bilanca!G123</f>
        <v>114</v>
      </c>
      <c r="G115" s="4">
        <f>IF(Bilanca!H123=0,"",Bilanca!H123)</f>
      </c>
      <c r="H115" s="30">
        <f t="shared" si="4"/>
        <v>476812.98</v>
      </c>
      <c r="I115" s="31">
        <f t="shared" si="5"/>
        <v>0</v>
      </c>
      <c r="J115" s="31">
        <f>Bilanca!I123</f>
        <v>155553</v>
      </c>
      <c r="K115" s="31">
        <f>Bilanca!J123</f>
        <v>131352</v>
      </c>
    </row>
    <row r="116" spans="4:11" ht="12.75">
      <c r="D116" s="4" t="s">
        <v>1521</v>
      </c>
      <c r="E116" s="4">
        <v>1</v>
      </c>
      <c r="F116" s="4">
        <f>Bilanca!G124</f>
        <v>115</v>
      </c>
      <c r="G116" s="4">
        <f>IF(Bilanca!H124=0,"",Bilanca!H124)</f>
      </c>
      <c r="H116" s="30">
        <f t="shared" si="4"/>
        <v>120609946.1</v>
      </c>
      <c r="I116" s="31">
        <f t="shared" si="5"/>
        <v>0</v>
      </c>
      <c r="J116" s="31">
        <f>Bilanca!I124</f>
        <v>17366594</v>
      </c>
      <c r="K116" s="31">
        <f>Bilanca!J124</f>
        <v>43755810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2413663.1999999997</v>
      </c>
      <c r="I118" s="31">
        <f t="shared" si="5"/>
        <v>0</v>
      </c>
      <c r="J118" s="31">
        <f>Bilanca!I126</f>
        <v>710896</v>
      </c>
      <c r="K118" s="31">
        <f>Bilanca!J126</f>
        <v>676032</v>
      </c>
    </row>
    <row r="119" spans="4:11" ht="12.75">
      <c r="D119" s="4" t="s">
        <v>1521</v>
      </c>
      <c r="E119" s="4">
        <v>1</v>
      </c>
      <c r="F119" s="4">
        <f>Bilanca!G127</f>
        <v>118</v>
      </c>
      <c r="G119" s="4">
        <f>IF(Bilanca!H127=0,"",Bilanca!H127)</f>
      </c>
      <c r="H119" s="30">
        <f t="shared" si="4"/>
        <v>2228647.12</v>
      </c>
      <c r="I119" s="31">
        <f t="shared" si="5"/>
        <v>0</v>
      </c>
      <c r="J119" s="31">
        <f>Bilanca!I127</f>
        <v>722626</v>
      </c>
      <c r="K119" s="31">
        <f>Bilanca!J127</f>
        <v>583029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4660160.12</v>
      </c>
      <c r="I122" s="31">
        <f t="shared" si="5"/>
        <v>0</v>
      </c>
      <c r="J122" s="31">
        <f>Bilanca!I130</f>
        <v>1281938</v>
      </c>
      <c r="K122" s="31">
        <f>Bilanca!J130</f>
        <v>1284717</v>
      </c>
    </row>
    <row r="123" spans="4:11" ht="12.75">
      <c r="D123" s="4" t="s">
        <v>1521</v>
      </c>
      <c r="E123" s="4">
        <v>1</v>
      </c>
      <c r="F123" s="4">
        <f>Bilanca!G131</f>
        <v>122</v>
      </c>
      <c r="G123" s="4">
        <f>IF(Bilanca!H131=0,"",Bilanca!H131)</f>
      </c>
      <c r="H123" s="30">
        <f t="shared" si="4"/>
        <v>1223219310.38</v>
      </c>
      <c r="I123" s="31">
        <f t="shared" si="5"/>
        <v>0</v>
      </c>
      <c r="J123" s="31">
        <f>Bilanca!I131</f>
        <v>307802183</v>
      </c>
      <c r="K123" s="31">
        <f>Bilanca!J131</f>
        <v>347418298</v>
      </c>
    </row>
    <row r="124" spans="4:11" ht="12.75">
      <c r="D124" s="4" t="s">
        <v>1521</v>
      </c>
      <c r="E124" s="4">
        <v>1</v>
      </c>
      <c r="F124" s="4">
        <f>Bilanca!G132</f>
        <v>123</v>
      </c>
      <c r="G124" s="4">
        <f>IF(Bilanca!H132=0,"",Bilanca!H132)</f>
      </c>
      <c r="H124" s="30">
        <f t="shared" si="4"/>
        <v>3013111711.14</v>
      </c>
      <c r="I124" s="31">
        <f t="shared" si="5"/>
        <v>0</v>
      </c>
      <c r="J124" s="31">
        <f>Bilanca!I132</f>
        <v>762397754</v>
      </c>
      <c r="K124" s="31">
        <f>Bilanca!J132</f>
        <v>843643282</v>
      </c>
    </row>
    <row r="125" spans="4:11" ht="12.75">
      <c r="D125" s="4" t="s">
        <v>1521</v>
      </c>
      <c r="E125" s="4">
        <v>1</v>
      </c>
      <c r="F125" s="4">
        <f>Bilanca!G133</f>
        <v>124</v>
      </c>
      <c r="G125" s="4">
        <f>IF(Bilanca!H133=0,"",Bilanca!H133)</f>
      </c>
      <c r="H125" s="30">
        <f t="shared" si="4"/>
        <v>855101536.12</v>
      </c>
      <c r="I125" s="31">
        <f t="shared" si="5"/>
        <v>0</v>
      </c>
      <c r="J125" s="31">
        <f>Bilanca!I133</f>
        <v>216467463</v>
      </c>
      <c r="K125" s="31">
        <f>Bilanca!J133</f>
        <v>236565275</v>
      </c>
    </row>
    <row r="126" spans="4:11" ht="12.75">
      <c r="D126" s="4" t="s">
        <v>541</v>
      </c>
      <c r="E126" s="4">
        <v>2</v>
      </c>
      <c r="F126" s="4">
        <f>RDG!G8</f>
        <v>125</v>
      </c>
      <c r="G126" s="4">
        <f>IF(RDG!H8=0,"",RDG!H8)</f>
      </c>
      <c r="H126" s="30">
        <f t="shared" si="4"/>
        <v>212850180</v>
      </c>
      <c r="I126" s="4">
        <f t="shared" si="5"/>
        <v>0</v>
      </c>
      <c r="J126" s="31">
        <f>RDG!I8</f>
        <v>60020740</v>
      </c>
      <c r="K126" s="31">
        <f>RDG!J8</f>
        <v>55129702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164389869.34</v>
      </c>
      <c r="I128" s="4">
        <f aca="true" t="shared" si="7" ref="I128:I190">ABS(ROUND(J128,0)-J128)+ABS(ROUND(K128,0)-K128)</f>
        <v>0</v>
      </c>
      <c r="J128" s="31">
        <f>RDG!I10</f>
        <v>46409484</v>
      </c>
      <c r="K128" s="31">
        <f>RDG!J10</f>
        <v>41515679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53091092.60000001</v>
      </c>
      <c r="I131" s="4">
        <f t="shared" si="7"/>
        <v>0</v>
      </c>
      <c r="J131" s="31">
        <f>RDG!I13</f>
        <v>13611256</v>
      </c>
      <c r="K131" s="31">
        <f>RDG!J13</f>
        <v>13614023</v>
      </c>
    </row>
    <row r="132" spans="4:11" ht="12.75">
      <c r="D132" s="4" t="s">
        <v>541</v>
      </c>
      <c r="E132" s="4">
        <v>2</v>
      </c>
      <c r="F132" s="4">
        <f>RDG!G14</f>
        <v>131</v>
      </c>
      <c r="G132" s="4">
        <f>IF(RDG!H14=0,"",RDG!H14)</f>
      </c>
      <c r="H132" s="30">
        <f t="shared" si="6"/>
        <v>222834998.12</v>
      </c>
      <c r="I132" s="4">
        <f t="shared" si="7"/>
        <v>0</v>
      </c>
      <c r="J132" s="31">
        <f>RDG!I14</f>
        <v>59498528</v>
      </c>
      <c r="K132" s="31">
        <f>RDG!J14</f>
        <v>55302262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95071377.87</v>
      </c>
      <c r="I134" s="4">
        <f t="shared" si="7"/>
        <v>0</v>
      </c>
      <c r="J134" s="31">
        <f>RDG!I16</f>
        <v>25526875</v>
      </c>
      <c r="K134" s="31">
        <f>RDG!J16</f>
        <v>22977682</v>
      </c>
    </row>
    <row r="135" spans="4:11" ht="12.75">
      <c r="D135" s="4" t="s">
        <v>541</v>
      </c>
      <c r="E135" s="4">
        <v>2</v>
      </c>
      <c r="F135" s="4">
        <f>RDG!G17</f>
        <v>134</v>
      </c>
      <c r="G135" s="4">
        <f>IF(RDG!H17=0,"",RDG!H17)</f>
      </c>
      <c r="H135" s="30">
        <f t="shared" si="6"/>
        <v>34999874.06</v>
      </c>
      <c r="I135" s="4">
        <f t="shared" si="7"/>
        <v>0</v>
      </c>
      <c r="J135" s="31">
        <f>RDG!I17</f>
        <v>9400687</v>
      </c>
      <c r="K135" s="31">
        <f>RDG!J17</f>
        <v>8359311</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61693584.8</v>
      </c>
      <c r="I137" s="4">
        <f t="shared" si="7"/>
        <v>0</v>
      </c>
      <c r="J137" s="31">
        <f>RDG!I19</f>
        <v>16126188</v>
      </c>
      <c r="K137" s="31">
        <f>RDG!J19</f>
        <v>14618371</v>
      </c>
    </row>
    <row r="138" spans="4:11" ht="12.75">
      <c r="D138" s="4" t="s">
        <v>541</v>
      </c>
      <c r="E138" s="4">
        <v>2</v>
      </c>
      <c r="F138" s="4">
        <f>RDG!G20</f>
        <v>137</v>
      </c>
      <c r="G138" s="4">
        <f>IF(RDG!H20=0,"",RDG!H20)</f>
      </c>
      <c r="H138" s="30">
        <f t="shared" si="6"/>
        <v>45147741.72</v>
      </c>
      <c r="I138" s="4">
        <f t="shared" si="7"/>
        <v>0</v>
      </c>
      <c r="J138" s="31">
        <f>RDG!I20</f>
        <v>11521936</v>
      </c>
      <c r="K138" s="31">
        <f>RDG!J20</f>
        <v>10716310</v>
      </c>
    </row>
    <row r="139" spans="4:11" ht="12.75">
      <c r="D139" s="4" t="s">
        <v>541</v>
      </c>
      <c r="E139" s="4">
        <v>2</v>
      </c>
      <c r="F139" s="4">
        <f>RDG!G21</f>
        <v>138</v>
      </c>
      <c r="G139" s="4">
        <f>IF(RDG!H21=0,"",RDG!H21)</f>
      </c>
      <c r="H139" s="30">
        <f t="shared" si="6"/>
        <v>29651270.64</v>
      </c>
      <c r="I139" s="4">
        <f t="shared" si="7"/>
        <v>0</v>
      </c>
      <c r="J139" s="31">
        <f>RDG!I21</f>
        <v>7430206</v>
      </c>
      <c r="K139" s="31">
        <f>RDG!J21</f>
        <v>7028111</v>
      </c>
    </row>
    <row r="140" spans="4:11" ht="12.75">
      <c r="D140" s="4" t="s">
        <v>541</v>
      </c>
      <c r="E140" s="4">
        <v>2</v>
      </c>
      <c r="F140" s="4">
        <f>RDG!G22</f>
        <v>139</v>
      </c>
      <c r="G140" s="4">
        <f>IF(RDG!H22=0,"",RDG!H22)</f>
      </c>
      <c r="H140" s="30">
        <f t="shared" si="6"/>
        <v>10228013.370000001</v>
      </c>
      <c r="I140" s="4">
        <f t="shared" si="7"/>
        <v>0</v>
      </c>
      <c r="J140" s="31">
        <f>RDG!I22</f>
        <v>2642799</v>
      </c>
      <c r="K140" s="31">
        <f>RDG!J22</f>
        <v>2357742</v>
      </c>
    </row>
    <row r="141" spans="4:11" ht="12.75">
      <c r="D141" s="4" t="s">
        <v>541</v>
      </c>
      <c r="E141" s="4">
        <v>2</v>
      </c>
      <c r="F141" s="4">
        <f>RDG!G23</f>
        <v>140</v>
      </c>
      <c r="G141" s="4">
        <f>IF(RDG!H23=0,"",RDG!H23)</f>
      </c>
      <c r="H141" s="30">
        <f t="shared" si="6"/>
        <v>5753783</v>
      </c>
      <c r="I141" s="4">
        <f t="shared" si="7"/>
        <v>0</v>
      </c>
      <c r="J141" s="31">
        <f>RDG!I23</f>
        <v>1448931</v>
      </c>
      <c r="K141" s="31">
        <f>RDG!J23</f>
        <v>1330457</v>
      </c>
    </row>
    <row r="142" spans="4:11" ht="12.75">
      <c r="D142" s="4" t="s">
        <v>541</v>
      </c>
      <c r="E142" s="4">
        <v>2</v>
      </c>
      <c r="F142" s="4">
        <f>RDG!G24</f>
        <v>141</v>
      </c>
      <c r="G142" s="4">
        <f>IF(RDG!H24=0,"",RDG!H24)</f>
      </c>
      <c r="H142" s="30">
        <f t="shared" si="6"/>
        <v>83409652.62</v>
      </c>
      <c r="I142" s="4">
        <f t="shared" si="7"/>
        <v>0</v>
      </c>
      <c r="J142" s="31">
        <f>RDG!I24</f>
        <v>19553474</v>
      </c>
      <c r="K142" s="31">
        <f>RDG!J24</f>
        <v>19801154</v>
      </c>
    </row>
    <row r="143" spans="4:11" ht="12.75">
      <c r="D143" s="4" t="s">
        <v>541</v>
      </c>
      <c r="E143" s="4">
        <v>2</v>
      </c>
      <c r="F143" s="4">
        <f>RDG!G25</f>
        <v>142</v>
      </c>
      <c r="G143" s="4">
        <f>IF(RDG!H25=0,"",RDG!H25)</f>
      </c>
      <c r="H143" s="30">
        <f t="shared" si="6"/>
        <v>7017517.880000001</v>
      </c>
      <c r="I143" s="4">
        <f t="shared" si="7"/>
        <v>0</v>
      </c>
      <c r="J143" s="31">
        <f>RDG!I25</f>
        <v>2083506</v>
      </c>
      <c r="K143" s="31">
        <f>RDG!J25</f>
        <v>1429204</v>
      </c>
    </row>
    <row r="144" spans="4:11" ht="12.75">
      <c r="D144" s="4" t="s">
        <v>541</v>
      </c>
      <c r="E144" s="4">
        <v>2</v>
      </c>
      <c r="F144" s="4">
        <f>RDG!G26</f>
        <v>143</v>
      </c>
      <c r="G144" s="4">
        <f>IF(RDG!H26=0,"",RDG!H26)</f>
      </c>
      <c r="H144" s="30">
        <f t="shared" si="6"/>
        <v>1356995.64</v>
      </c>
      <c r="I144" s="4">
        <f t="shared" si="7"/>
        <v>0</v>
      </c>
      <c r="J144" s="31">
        <f>RDG!I26</f>
        <v>309024</v>
      </c>
      <c r="K144" s="31">
        <f>RDG!J26</f>
        <v>319962</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1375974.5999999999</v>
      </c>
      <c r="I146" s="4">
        <f t="shared" si="7"/>
        <v>0</v>
      </c>
      <c r="J146" s="31">
        <f>RDG!I28</f>
        <v>309024</v>
      </c>
      <c r="K146" s="31">
        <f>RDG!J28</f>
        <v>319962</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948007.89</v>
      </c>
      <c r="I154" s="4">
        <f t="shared" si="7"/>
        <v>0</v>
      </c>
      <c r="J154" s="31">
        <f>RDG!I36</f>
        <v>503713</v>
      </c>
      <c r="K154" s="31">
        <f>RDG!J36</f>
        <v>57950</v>
      </c>
    </row>
    <row r="155" spans="4:11" ht="12.75">
      <c r="D155" s="4" t="s">
        <v>541</v>
      </c>
      <c r="E155" s="4">
        <v>2</v>
      </c>
      <c r="F155" s="4">
        <f>RDG!G37</f>
        <v>154</v>
      </c>
      <c r="G155" s="4">
        <f>IF(RDG!H37=0,"",RDG!H37)</f>
      </c>
      <c r="H155" s="30">
        <f t="shared" si="6"/>
        <v>1402384.06</v>
      </c>
      <c r="I155" s="4">
        <f t="shared" si="7"/>
        <v>0</v>
      </c>
      <c r="J155" s="31">
        <f>RDG!I37</f>
        <v>285825</v>
      </c>
      <c r="K155" s="31">
        <f>RDG!J37</f>
        <v>312407</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1465523.4300000002</v>
      </c>
      <c r="I162" s="4">
        <f t="shared" si="7"/>
        <v>0</v>
      </c>
      <c r="J162" s="31">
        <f>RDG!I44</f>
        <v>285467</v>
      </c>
      <c r="K162" s="31">
        <f>RDG!J44</f>
        <v>312398</v>
      </c>
    </row>
    <row r="163" spans="4:11" ht="12.75">
      <c r="D163" s="4" t="s">
        <v>541</v>
      </c>
      <c r="E163" s="4">
        <v>2</v>
      </c>
      <c r="F163" s="4">
        <f>RDG!G45</f>
        <v>162</v>
      </c>
      <c r="G163" s="4">
        <f>IF(RDG!H45=0,"",RDG!H45)</f>
      </c>
      <c r="H163" s="30">
        <f t="shared" si="6"/>
        <v>609.12</v>
      </c>
      <c r="I163" s="4">
        <f t="shared" si="7"/>
        <v>0</v>
      </c>
      <c r="J163" s="31">
        <f>RDG!I45</f>
        <v>358</v>
      </c>
      <c r="K163" s="31">
        <f>RDG!J45</f>
        <v>9</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5906820.15</v>
      </c>
      <c r="I166" s="4">
        <f t="shared" si="7"/>
        <v>0</v>
      </c>
      <c r="J166" s="31">
        <f>RDG!I48</f>
        <v>801275</v>
      </c>
      <c r="K166" s="31">
        <f>RDG!J48</f>
        <v>1389308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5198365.2</v>
      </c>
      <c r="I169" s="4">
        <f t="shared" si="7"/>
        <v>0</v>
      </c>
      <c r="J169" s="31">
        <f>RDG!I51</f>
        <v>744011</v>
      </c>
      <c r="K169" s="31">
        <f>RDG!J51</f>
        <v>1175127</v>
      </c>
    </row>
    <row r="170" spans="4:11" ht="12.75">
      <c r="D170" s="4" t="s">
        <v>541</v>
      </c>
      <c r="E170" s="4">
        <v>2</v>
      </c>
      <c r="F170" s="4">
        <f>RDG!G52</f>
        <v>169</v>
      </c>
      <c r="G170" s="4">
        <f>IF(RDG!H52=0,"",RDG!H52)</f>
      </c>
      <c r="H170" s="30">
        <f t="shared" si="6"/>
        <v>820707.9400000001</v>
      </c>
      <c r="I170" s="4">
        <f t="shared" si="7"/>
        <v>0</v>
      </c>
      <c r="J170" s="31">
        <f>RDG!I52</f>
        <v>57264</v>
      </c>
      <c r="K170" s="31">
        <f>RDG!J52</f>
        <v>214181</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303007685.90999997</v>
      </c>
      <c r="I178" s="4">
        <f t="shared" si="7"/>
        <v>0</v>
      </c>
      <c r="J178" s="31">
        <f>RDG!I60</f>
        <v>60306565</v>
      </c>
      <c r="K178" s="31">
        <f>RDG!J60</f>
        <v>55442109</v>
      </c>
    </row>
    <row r="179" spans="4:11" ht="12.75">
      <c r="D179" s="4" t="s">
        <v>541</v>
      </c>
      <c r="E179" s="4">
        <v>2</v>
      </c>
      <c r="F179" s="4">
        <f>RDG!G61</f>
        <v>178</v>
      </c>
      <c r="G179" s="4">
        <f>IF(RDG!H61=0,"",RDG!H61)</f>
      </c>
      <c r="H179" s="30">
        <f t="shared" si="6"/>
        <v>309155638.53999996</v>
      </c>
      <c r="I179" s="4">
        <f t="shared" si="7"/>
        <v>0</v>
      </c>
      <c r="J179" s="31">
        <f>RDG!I61</f>
        <v>60299803</v>
      </c>
      <c r="K179" s="31">
        <f>RDG!J61</f>
        <v>56691570</v>
      </c>
    </row>
    <row r="180" spans="4:11" ht="12.75">
      <c r="D180" s="4" t="s">
        <v>541</v>
      </c>
      <c r="E180" s="4">
        <v>2</v>
      </c>
      <c r="F180" s="4">
        <f>RDG!G62</f>
        <v>179</v>
      </c>
      <c r="G180" s="4">
        <f>IF(RDG!H62=0,"",RDG!H62)</f>
      </c>
      <c r="H180" s="30">
        <f t="shared" si="6"/>
        <v>-4460966.399999999</v>
      </c>
      <c r="I180" s="4">
        <f t="shared" si="7"/>
        <v>0</v>
      </c>
      <c r="J180" s="31">
        <f>RDG!I62</f>
        <v>6762</v>
      </c>
      <c r="K180" s="31">
        <f>RDG!J62</f>
        <v>-1249461</v>
      </c>
    </row>
    <row r="181" spans="4:11" ht="12.75">
      <c r="D181" s="4" t="s">
        <v>541</v>
      </c>
      <c r="E181" s="4">
        <v>2</v>
      </c>
      <c r="F181" s="4">
        <f>RDG!G63</f>
        <v>180</v>
      </c>
      <c r="G181" s="4">
        <f>IF(RDG!H63=0,"",RDG!H63)</f>
      </c>
      <c r="H181" s="30">
        <f t="shared" si="6"/>
        <v>12171.6</v>
      </c>
      <c r="I181" s="4">
        <f t="shared" si="7"/>
        <v>0</v>
      </c>
      <c r="J181" s="31">
        <f>RDG!I63</f>
        <v>6762</v>
      </c>
      <c r="K181" s="31">
        <f>RDG!J63</f>
        <v>0</v>
      </c>
    </row>
    <row r="182" spans="4:11" ht="12.75">
      <c r="D182" s="4" t="s">
        <v>541</v>
      </c>
      <c r="E182" s="4">
        <v>2</v>
      </c>
      <c r="F182" s="4">
        <f>RDG!G64</f>
        <v>181</v>
      </c>
      <c r="G182" s="4">
        <f>IF(RDG!H64=0,"",RDG!H64)</f>
      </c>
      <c r="H182" s="30">
        <f t="shared" si="6"/>
        <v>4523048.82</v>
      </c>
      <c r="I182" s="4">
        <f t="shared" si="7"/>
        <v>0</v>
      </c>
      <c r="J182" s="31">
        <f>RDG!I64</f>
        <v>0</v>
      </c>
      <c r="K182" s="31">
        <f>RDG!J64</f>
        <v>1249461</v>
      </c>
    </row>
    <row r="183" spans="4:11" ht="12.75">
      <c r="D183" s="4" t="s">
        <v>541</v>
      </c>
      <c r="E183" s="4">
        <v>2</v>
      </c>
      <c r="F183" s="4">
        <f>RDG!G65</f>
        <v>182</v>
      </c>
      <c r="G183" s="4">
        <f>IF(RDG!H65=0,"",RDG!H65)</f>
      </c>
      <c r="H183" s="30">
        <f t="shared" si="6"/>
        <v>15422.679999999998</v>
      </c>
      <c r="I183" s="4">
        <f t="shared" si="7"/>
        <v>0</v>
      </c>
      <c r="J183" s="31">
        <f>RDG!I65</f>
        <v>8474</v>
      </c>
      <c r="K183" s="31">
        <f>RDG!J65</f>
        <v>0</v>
      </c>
    </row>
    <row r="184" spans="4:11" ht="12.75">
      <c r="D184" s="4" t="s">
        <v>541</v>
      </c>
      <c r="E184" s="4">
        <v>2</v>
      </c>
      <c r="F184" s="4">
        <f>RDG!G66</f>
        <v>183</v>
      </c>
      <c r="G184" s="4">
        <f>IF(RDG!H66=0,"",RDG!H66)</f>
      </c>
      <c r="H184" s="30">
        <f t="shared" si="6"/>
        <v>-4576160.22</v>
      </c>
      <c r="I184" s="4">
        <f t="shared" si="7"/>
        <v>0</v>
      </c>
      <c r="J184" s="31">
        <f>RDG!I66</f>
        <v>-1712</v>
      </c>
      <c r="K184" s="31">
        <f>RDG!J66</f>
        <v>-1249461</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4626172.9</v>
      </c>
      <c r="I186" s="4">
        <f t="shared" si="7"/>
        <v>0</v>
      </c>
      <c r="J186" s="31">
        <f>RDG!I68</f>
        <v>1712</v>
      </c>
      <c r="K186" s="31">
        <f>RDG!J68</f>
        <v>1249461</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299008345.02</v>
      </c>
      <c r="I232" s="4">
        <f t="shared" si="11"/>
        <v>0</v>
      </c>
      <c r="J232" s="31">
        <f>Dodatni!I25</f>
        <v>46409484</v>
      </c>
      <c r="K232" s="31">
        <f>Dodatni!J25</f>
        <v>41515679</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313246837.64</v>
      </c>
      <c r="I243" s="4">
        <f t="shared" si="11"/>
        <v>0</v>
      </c>
      <c r="J243" s="31">
        <f>Dodatni!I37</f>
        <v>46409484</v>
      </c>
      <c r="K243" s="31">
        <f>Dodatni!J37</f>
        <v>41515679</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197995.56</v>
      </c>
      <c r="I247" s="4">
        <f t="shared" si="11"/>
        <v>0</v>
      </c>
      <c r="J247" s="31">
        <f>Dodatni!I43</f>
        <v>24958</v>
      </c>
      <c r="K247" s="31">
        <f>Dodatni!J43</f>
        <v>27764</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24808276.080000002</v>
      </c>
      <c r="I253" s="4">
        <f t="shared" si="11"/>
        <v>0</v>
      </c>
      <c r="J253" s="31">
        <f>Dodatni!I50</f>
        <v>3612676</v>
      </c>
      <c r="K253" s="31">
        <f>Dodatni!J50</f>
        <v>3115939</v>
      </c>
    </row>
    <row r="254" spans="4:11" ht="12.75">
      <c r="D254" s="4" t="s">
        <v>1522</v>
      </c>
      <c r="E254" s="4">
        <v>3</v>
      </c>
      <c r="F254" s="4">
        <f>Dodatni!H51</f>
        <v>253</v>
      </c>
      <c r="H254" s="30">
        <f t="shared" si="10"/>
        <v>7.590000000000001</v>
      </c>
      <c r="I254" s="4">
        <f t="shared" si="11"/>
        <v>0</v>
      </c>
      <c r="J254" s="31">
        <f>Dodatni!I51</f>
        <v>1</v>
      </c>
      <c r="K254" s="31">
        <f>Dodatni!J51</f>
        <v>1</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18795.629999999997</v>
      </c>
      <c r="I260" s="4">
        <f t="shared" si="11"/>
        <v>0</v>
      </c>
      <c r="J260" s="31">
        <f>Dodatni!I57</f>
        <v>3607</v>
      </c>
      <c r="K260" s="31">
        <f>Dodatni!J57</f>
        <v>1825</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3441836.3599999994</v>
      </c>
      <c r="I263" s="4">
        <f t="shared" si="11"/>
        <v>0</v>
      </c>
      <c r="J263" s="31">
        <f>Dodatni!I60</f>
        <v>465298</v>
      </c>
      <c r="K263" s="31">
        <f>Dodatni!J60</f>
        <v>424190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7.92</v>
      </c>
      <c r="I265" s="4">
        <f t="shared" si="11"/>
        <v>0</v>
      </c>
      <c r="J265" s="31">
        <f>Dodatni!I62</f>
        <v>1</v>
      </c>
      <c r="K265" s="31">
        <f>Dodatni!J62</f>
        <v>1</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2956552.41</v>
      </c>
      <c r="I268" s="4">
        <f t="shared" si="11"/>
        <v>0</v>
      </c>
      <c r="J268" s="31">
        <f>Dodatni!I65</f>
        <v>610153</v>
      </c>
      <c r="K268" s="31">
        <f>Dodatni!J65</f>
        <v>248585</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2284587.34</v>
      </c>
      <c r="I275" s="4">
        <f aca="true" t="shared" si="13" ref="I275:I284">ABS(ROUND(J275,0)-J275)+ABS(ROUND(K275,0)-K275)</f>
        <v>0</v>
      </c>
      <c r="J275" s="31">
        <f>Dodatni!I73</f>
        <v>285825</v>
      </c>
      <c r="K275" s="31">
        <f>Dodatni!J73</f>
        <v>273983</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8571114.05</v>
      </c>
      <c r="I278" s="4">
        <f t="shared" si="13"/>
        <v>0</v>
      </c>
      <c r="J278" s="31">
        <f>Dodatni!I76</f>
        <v>744011</v>
      </c>
      <c r="K278" s="31">
        <f>Dodatni!J76</f>
        <v>1175127</v>
      </c>
    </row>
    <row r="279" spans="4:11" ht="12.75">
      <c r="D279" s="4" t="s">
        <v>1522</v>
      </c>
      <c r="E279" s="4">
        <v>3</v>
      </c>
      <c r="F279" s="4">
        <f>Dodatni!H78</f>
        <v>278</v>
      </c>
      <c r="H279" s="30">
        <f t="shared" si="12"/>
        <v>134732533.20000002</v>
      </c>
      <c r="I279" s="4">
        <f t="shared" si="13"/>
        <v>0</v>
      </c>
      <c r="J279" s="31">
        <f>Dodatni!I78</f>
        <v>9688696</v>
      </c>
      <c r="K279" s="31">
        <f>Dodatni!J78</f>
        <v>19388122</v>
      </c>
    </row>
    <row r="280" spans="4:11" ht="12.75">
      <c r="D280" s="4" t="s">
        <v>1522</v>
      </c>
      <c r="E280" s="4">
        <v>3</v>
      </c>
      <c r="F280" s="4">
        <f>Dodatni!H79</f>
        <v>279</v>
      </c>
      <c r="H280" s="30">
        <f t="shared" si="12"/>
        <v>117346130.55000001</v>
      </c>
      <c r="I280" s="4">
        <f t="shared" si="13"/>
        <v>0</v>
      </c>
      <c r="J280" s="31">
        <f>Dodatni!I79</f>
        <v>6595461</v>
      </c>
      <c r="K280" s="31">
        <f>Dodatni!J79</f>
        <v>17732042</v>
      </c>
    </row>
    <row r="281" spans="4:11" ht="12.75">
      <c r="D281" s="4" t="s">
        <v>1522</v>
      </c>
      <c r="E281" s="4">
        <v>3</v>
      </c>
      <c r="F281" s="4">
        <f>Dodatni!H80</f>
        <v>280</v>
      </c>
      <c r="H281" s="30">
        <f t="shared" si="12"/>
        <v>10502634.8</v>
      </c>
      <c r="I281" s="4">
        <f t="shared" si="13"/>
        <v>0</v>
      </c>
      <c r="J281" s="31">
        <f>Dodatni!I80</f>
        <v>2204711</v>
      </c>
      <c r="K281" s="31">
        <f>Dodatni!J80</f>
        <v>773115</v>
      </c>
    </row>
    <row r="282" spans="4:11" ht="12.75">
      <c r="D282" s="4" t="s">
        <v>1522</v>
      </c>
      <c r="E282" s="4">
        <v>3</v>
      </c>
      <c r="F282" s="4">
        <f>Dodatni!H81</f>
        <v>281</v>
      </c>
      <c r="H282" s="30">
        <f t="shared" si="12"/>
        <v>7437569.82</v>
      </c>
      <c r="I282" s="4">
        <f t="shared" si="13"/>
        <v>0</v>
      </c>
      <c r="J282" s="31">
        <f>Dodatni!I81</f>
        <v>880892</v>
      </c>
      <c r="K282" s="31">
        <f>Dodatni!J81</f>
        <v>882965</v>
      </c>
    </row>
    <row r="283" spans="4:11" ht="12.75">
      <c r="D283" s="4" t="s">
        <v>1522</v>
      </c>
      <c r="E283" s="4">
        <v>3</v>
      </c>
      <c r="F283" s="4">
        <f>Dodatni!H82</f>
        <v>282</v>
      </c>
      <c r="H283" s="30">
        <f t="shared" si="12"/>
        <v>21522.239999999998</v>
      </c>
      <c r="I283" s="4">
        <f t="shared" si="13"/>
        <v>0</v>
      </c>
      <c r="J283" s="31">
        <f>Dodatni!I82</f>
        <v>7632</v>
      </c>
      <c r="K283" s="31">
        <f>Dodatni!J82</f>
        <v>0</v>
      </c>
    </row>
    <row r="284" spans="4:11" ht="12.75">
      <c r="D284" s="4" t="s">
        <v>1522</v>
      </c>
      <c r="E284" s="4">
        <v>3</v>
      </c>
      <c r="F284" s="4">
        <f>Dodatni!H83</f>
        <v>283</v>
      </c>
      <c r="H284" s="30">
        <f t="shared" si="12"/>
        <v>109017.26000000001</v>
      </c>
      <c r="I284" s="4">
        <f t="shared" si="13"/>
        <v>0</v>
      </c>
      <c r="J284" s="31">
        <f>Dodatni!I83</f>
        <v>38522</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1962907.25</v>
      </c>
      <c r="I339" s="4">
        <f>ABS(ROUND(J339,0)-J339)+ABS(ROUND(K339,0)-K339)</f>
        <v>0</v>
      </c>
      <c r="J339" s="31">
        <f>NT_D!I9</f>
        <v>69980295</v>
      </c>
      <c r="K339" s="31">
        <f>NT_D!J9</f>
        <v>63155215</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16467.36</v>
      </c>
      <c r="I341" s="4">
        <f aca="true" t="shared" si="21" ref="I341:I380">ABS(ROUND(J341,0)-J341)+ABS(ROUND(K341,0)-K341)</f>
        <v>0</v>
      </c>
      <c r="J341" s="31">
        <f>NT_D!I11</f>
        <v>286436</v>
      </c>
      <c r="K341" s="31">
        <f>NT_D!J11</f>
        <v>131238</v>
      </c>
    </row>
    <row r="342" spans="4:11" ht="12.75">
      <c r="D342" s="4" t="s">
        <v>1524</v>
      </c>
      <c r="E342" s="4">
        <v>5</v>
      </c>
      <c r="F342" s="32">
        <f>NT_D!G12</f>
        <v>4</v>
      </c>
      <c r="G342" s="32">
        <f>IF(NT_D!H12&lt;&gt;"",NT_D!H12,"")</f>
      </c>
      <c r="H342" s="30">
        <f t="shared" si="20"/>
        <v>50745.24</v>
      </c>
      <c r="I342" s="4">
        <f t="shared" si="21"/>
        <v>0</v>
      </c>
      <c r="J342" s="31">
        <f>NT_D!I12</f>
        <v>742853</v>
      </c>
      <c r="K342" s="31">
        <f>NT_D!J12</f>
        <v>262889</v>
      </c>
    </row>
    <row r="343" spans="4:11" ht="12.75">
      <c r="D343" s="4" t="s">
        <v>1524</v>
      </c>
      <c r="E343" s="4">
        <v>5</v>
      </c>
      <c r="F343" s="32">
        <f>NT_D!G13</f>
        <v>5</v>
      </c>
      <c r="G343" s="32">
        <f>IF(NT_D!H13&lt;&gt;"",NT_D!H13,"")</f>
      </c>
      <c r="H343" s="30">
        <f t="shared" si="20"/>
        <v>-3906243.2</v>
      </c>
      <c r="I343" s="4">
        <f t="shared" si="21"/>
        <v>0</v>
      </c>
      <c r="J343" s="31">
        <f>NT_D!I13</f>
        <v>-28263044</v>
      </c>
      <c r="K343" s="31">
        <f>NT_D!J13</f>
        <v>-24930910</v>
      </c>
    </row>
    <row r="344" spans="4:11" ht="12.75">
      <c r="D344" s="4" t="s">
        <v>1524</v>
      </c>
      <c r="E344" s="4">
        <v>5</v>
      </c>
      <c r="F344" s="32">
        <f>NT_D!G14</f>
        <v>6</v>
      </c>
      <c r="G344" s="32">
        <f>IF(NT_D!H14&lt;&gt;"",NT_D!H14,"")</f>
      </c>
      <c r="H344" s="30">
        <f t="shared" si="20"/>
        <v>-2122930.74</v>
      </c>
      <c r="I344" s="4">
        <f t="shared" si="21"/>
        <v>0</v>
      </c>
      <c r="J344" s="31">
        <f>NT_D!I14</f>
        <v>-12389633</v>
      </c>
      <c r="K344" s="31">
        <f>NT_D!J14</f>
        <v>-11496273</v>
      </c>
    </row>
    <row r="345" spans="4:11" ht="12.75">
      <c r="D345" s="4" t="s">
        <v>1524</v>
      </c>
      <c r="E345" s="4">
        <v>5</v>
      </c>
      <c r="F345" s="32">
        <f>NT_D!G15</f>
        <v>7</v>
      </c>
      <c r="G345" s="32">
        <f>IF(NT_D!H15&lt;&gt;"",NT_D!H15,"")</f>
      </c>
      <c r="H345" s="30">
        <f t="shared" si="20"/>
        <v>-93537.15</v>
      </c>
      <c r="I345" s="4">
        <f t="shared" si="21"/>
        <v>0</v>
      </c>
      <c r="J345" s="31">
        <f>NT_D!I15</f>
        <v>-445415</v>
      </c>
      <c r="K345" s="31">
        <f>NT_D!J15</f>
        <v>-445415</v>
      </c>
    </row>
    <row r="346" spans="4:11" ht="12.75">
      <c r="D346" s="4" t="s">
        <v>1524</v>
      </c>
      <c r="E346" s="4">
        <v>5</v>
      </c>
      <c r="F346" s="32">
        <f>NT_D!G16</f>
        <v>8</v>
      </c>
      <c r="G346" s="32">
        <f>IF(NT_D!H16&lt;&gt;"",NT_D!H16,"")</f>
      </c>
      <c r="H346" s="30">
        <f t="shared" si="20"/>
        <v>-2932152.56</v>
      </c>
      <c r="I346" s="4">
        <f t="shared" si="21"/>
        <v>0</v>
      </c>
      <c r="J346" s="31">
        <f>NT_D!I16</f>
        <v>-12943227</v>
      </c>
      <c r="K346" s="31">
        <f>NT_D!J16</f>
        <v>-11854340</v>
      </c>
    </row>
    <row r="347" spans="4:11" ht="12.75">
      <c r="D347" s="4" t="s">
        <v>1524</v>
      </c>
      <c r="E347" s="4">
        <v>5</v>
      </c>
      <c r="F347" s="32">
        <f>NT_D!G17</f>
        <v>9</v>
      </c>
      <c r="G347" s="32">
        <f>IF(NT_D!H17&lt;&gt;"",NT_D!H17,"")</f>
      </c>
      <c r="H347" s="30">
        <f t="shared" si="20"/>
        <v>4195176.57</v>
      </c>
      <c r="I347" s="4">
        <f t="shared" si="21"/>
        <v>0</v>
      </c>
      <c r="J347" s="31">
        <f>NT_D!I17</f>
        <v>16968265</v>
      </c>
      <c r="K347" s="31">
        <f>NT_D!J17</f>
        <v>14822404</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-23058.309999999998</v>
      </c>
      <c r="I349" s="4">
        <f t="shared" si="21"/>
        <v>0</v>
      </c>
      <c r="J349" s="31">
        <f>NT_D!I19</f>
        <v>-101527</v>
      </c>
      <c r="K349" s="31">
        <f>NT_D!J19</f>
        <v>-54047</v>
      </c>
    </row>
    <row r="350" spans="4:11" ht="12.75">
      <c r="D350" s="4" t="s">
        <v>1524</v>
      </c>
      <c r="E350" s="4">
        <v>5</v>
      </c>
      <c r="F350" s="32">
        <f>NT_D!G20</f>
        <v>12</v>
      </c>
      <c r="G350" s="32">
        <f>IF(NT_D!H20&lt;&gt;"",NT_D!H20,"")</f>
      </c>
      <c r="H350" s="30">
        <f t="shared" si="20"/>
        <v>5568414.24</v>
      </c>
      <c r="I350" s="4">
        <f t="shared" si="21"/>
        <v>0</v>
      </c>
      <c r="J350" s="31">
        <f>NT_D!I20</f>
        <v>16866738</v>
      </c>
      <c r="K350" s="31">
        <f>NT_D!J20</f>
        <v>14768357</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24464981.34</v>
      </c>
      <c r="I356" s="4">
        <f t="shared" si="21"/>
        <v>0</v>
      </c>
      <c r="J356" s="31">
        <f>NT_D!I27</f>
        <v>44428191</v>
      </c>
      <c r="K356" s="31">
        <f>NT_D!J27</f>
        <v>45744186</v>
      </c>
    </row>
    <row r="357" spans="4:11" ht="12.75">
      <c r="D357" s="4" t="s">
        <v>1524</v>
      </c>
      <c r="E357" s="4">
        <v>5</v>
      </c>
      <c r="F357" s="32">
        <f>NT_D!G28</f>
        <v>19</v>
      </c>
      <c r="G357" s="32">
        <f>IF(NT_D!H28&lt;&gt;"",NT_D!H28,"")</f>
      </c>
      <c r="H357" s="30">
        <f t="shared" si="20"/>
        <v>25824146.97</v>
      </c>
      <c r="I357" s="4">
        <f t="shared" si="21"/>
        <v>0</v>
      </c>
      <c r="J357" s="31">
        <f>NT_D!I28</f>
        <v>44428191</v>
      </c>
      <c r="K357" s="31">
        <f>NT_D!J28</f>
        <v>45744186</v>
      </c>
    </row>
    <row r="358" spans="4:11" ht="12.75">
      <c r="D358" s="4" t="s">
        <v>1524</v>
      </c>
      <c r="E358" s="4">
        <v>5</v>
      </c>
      <c r="F358" s="32">
        <f>NT_D!G29</f>
        <v>20</v>
      </c>
      <c r="G358" s="32">
        <f>IF(NT_D!H29&lt;&gt;"",NT_D!H29,"")</f>
      </c>
      <c r="H358" s="30">
        <f t="shared" si="20"/>
        <v>-44224563</v>
      </c>
      <c r="I358" s="4">
        <f t="shared" si="21"/>
        <v>0</v>
      </c>
      <c r="J358" s="31">
        <f>NT_D!I29</f>
        <v>-82021361</v>
      </c>
      <c r="K358" s="31">
        <f>NT_D!J29</f>
        <v>-69550727</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-55280703.75</v>
      </c>
      <c r="I363" s="4">
        <f t="shared" si="21"/>
        <v>0</v>
      </c>
      <c r="J363" s="31">
        <f>NT_D!I34</f>
        <v>-82021361</v>
      </c>
      <c r="K363" s="31">
        <f>NT_D!J34</f>
        <v>-69550727</v>
      </c>
    </row>
    <row r="364" spans="4:11" ht="12.75">
      <c r="D364" s="4" t="s">
        <v>1524</v>
      </c>
      <c r="E364" s="4">
        <v>5</v>
      </c>
      <c r="F364" s="32">
        <f>NT_D!G35</f>
        <v>26</v>
      </c>
      <c r="G364" s="32">
        <f>IF(NT_D!H35&lt;&gt;"",NT_D!H35,"")</f>
      </c>
      <c r="H364" s="30">
        <f t="shared" si="20"/>
        <v>-22153625.520000003</v>
      </c>
      <c r="I364" s="4">
        <f t="shared" si="21"/>
        <v>0</v>
      </c>
      <c r="J364" s="31">
        <f>NT_D!I35</f>
        <v>-37593170</v>
      </c>
      <c r="K364" s="31">
        <f>NT_D!J35</f>
        <v>-23806541</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18242376.63</v>
      </c>
      <c r="I367" s="4">
        <f t="shared" si="21"/>
        <v>0</v>
      </c>
      <c r="J367" s="31">
        <f>NT_D!I39</f>
        <v>24437393</v>
      </c>
      <c r="K367" s="31">
        <f>NT_D!J39</f>
        <v>19233677</v>
      </c>
    </row>
    <row r="368" spans="4:11" ht="12.75">
      <c r="D368" s="4" t="s">
        <v>1524</v>
      </c>
      <c r="E368" s="4">
        <v>5</v>
      </c>
      <c r="F368" s="32">
        <f>NT_D!G40</f>
        <v>30</v>
      </c>
      <c r="G368" s="32">
        <f>IF(NT_D!H40&lt;&gt;"",NT_D!H40,"")</f>
      </c>
      <c r="H368" s="30">
        <f t="shared" si="20"/>
        <v>949506.3</v>
      </c>
      <c r="I368" s="4">
        <f t="shared" si="21"/>
        <v>0</v>
      </c>
      <c r="J368" s="31">
        <f>NT_D!I40</f>
        <v>882527</v>
      </c>
      <c r="K368" s="31">
        <f>NT_D!J40</f>
        <v>1141247</v>
      </c>
    </row>
    <row r="369" spans="4:11" ht="12.75">
      <c r="D369" s="4" t="s">
        <v>1524</v>
      </c>
      <c r="E369" s="4">
        <v>5</v>
      </c>
      <c r="F369" s="32">
        <f>NT_D!G41</f>
        <v>31</v>
      </c>
      <c r="G369" s="32">
        <f>IF(NT_D!H41&lt;&gt;"",NT_D!H41,"")</f>
      </c>
      <c r="H369" s="30">
        <f t="shared" si="20"/>
        <v>20481628.08</v>
      </c>
      <c r="I369" s="4">
        <f t="shared" si="21"/>
        <v>0</v>
      </c>
      <c r="J369" s="31">
        <f>NT_D!I41</f>
        <v>25319920</v>
      </c>
      <c r="K369" s="31">
        <f>NT_D!J41</f>
        <v>20374924</v>
      </c>
    </row>
    <row r="370" spans="4:11" ht="12.75">
      <c r="D370" s="4" t="s">
        <v>1524</v>
      </c>
      <c r="E370" s="4">
        <v>5</v>
      </c>
      <c r="F370" s="32">
        <f>NT_D!G42</f>
        <v>32</v>
      </c>
      <c r="G370" s="32">
        <f>IF(NT_D!H42&lt;&gt;"",NT_D!H42,"")</f>
      </c>
      <c r="H370" s="30">
        <f t="shared" si="20"/>
        <v>-5319035.84</v>
      </c>
      <c r="I370" s="4">
        <f t="shared" si="21"/>
        <v>0</v>
      </c>
      <c r="J370" s="31">
        <f>NT_D!I42</f>
        <v>-8677321</v>
      </c>
      <c r="K370" s="31">
        <f>NT_D!J42</f>
        <v>-3972333</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-1319995.08</v>
      </c>
      <c r="I374" s="4">
        <f t="shared" si="21"/>
        <v>0</v>
      </c>
      <c r="J374" s="31">
        <f>NT_D!I46</f>
        <v>-934399</v>
      </c>
      <c r="K374" s="31">
        <f>NT_D!J46</f>
        <v>-1366127</v>
      </c>
    </row>
    <row r="375" spans="4:11" ht="12.75">
      <c r="D375" s="4" t="s">
        <v>1524</v>
      </c>
      <c r="E375" s="4">
        <v>5</v>
      </c>
      <c r="F375" s="32">
        <f>NT_D!G47</f>
        <v>37</v>
      </c>
      <c r="G375" s="32">
        <f>IF(NT_D!H47&lt;&gt;"",NT_D!H47,"")</f>
      </c>
      <c r="H375" s="30">
        <f t="shared" si="20"/>
        <v>-7506796.8</v>
      </c>
      <c r="I375" s="4">
        <f t="shared" si="21"/>
        <v>0</v>
      </c>
      <c r="J375" s="31">
        <f>NT_D!I47</f>
        <v>-9611720</v>
      </c>
      <c r="K375" s="31">
        <f>NT_D!J47</f>
        <v>-5338460</v>
      </c>
    </row>
    <row r="376" spans="4:11" ht="12.75">
      <c r="D376" s="4" t="s">
        <v>1524</v>
      </c>
      <c r="E376" s="4">
        <v>5</v>
      </c>
      <c r="F376" s="32">
        <f>NT_D!G48</f>
        <v>38</v>
      </c>
      <c r="G376" s="32">
        <f>IF(NT_D!H48&lt;&gt;"",NT_D!H48,"")</f>
      </c>
      <c r="H376" s="30">
        <f t="shared" si="20"/>
        <v>17396828.64</v>
      </c>
      <c r="I376" s="4">
        <f t="shared" si="21"/>
        <v>0</v>
      </c>
      <c r="J376" s="31">
        <f>NT_D!I48</f>
        <v>15708200</v>
      </c>
      <c r="K376" s="31">
        <f>NT_D!J48</f>
        <v>15036464</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2791331.2</v>
      </c>
      <c r="I378" s="4">
        <f t="shared" si="21"/>
        <v>0</v>
      </c>
      <c r="J378" s="31">
        <f>NT_D!I50</f>
        <v>-5018232</v>
      </c>
      <c r="K378" s="31">
        <f>NT_D!J50</f>
        <v>5998280</v>
      </c>
    </row>
    <row r="379" spans="4:11" ht="12.75">
      <c r="D379" s="4" t="s">
        <v>1524</v>
      </c>
      <c r="E379" s="4">
        <v>5</v>
      </c>
      <c r="F379" s="32">
        <f>NT_D!G51</f>
        <v>41</v>
      </c>
      <c r="G379" s="32">
        <f>IF(NT_D!H51&lt;&gt;"",NT_D!H51,"")</f>
      </c>
      <c r="H379" s="30">
        <f t="shared" si="20"/>
        <v>15993090.99</v>
      </c>
      <c r="I379" s="4">
        <f t="shared" si="21"/>
        <v>0</v>
      </c>
      <c r="J379" s="31">
        <f>NT_D!I51</f>
        <v>16348001</v>
      </c>
      <c r="K379" s="31">
        <f>NT_D!J51</f>
        <v>11329769</v>
      </c>
    </row>
    <row r="380" spans="4:11" ht="12.75">
      <c r="D380" s="4" t="s">
        <v>1524</v>
      </c>
      <c r="E380" s="4">
        <v>5</v>
      </c>
      <c r="F380" s="32">
        <f>NT_D!G52</f>
        <v>42</v>
      </c>
      <c r="G380" s="32">
        <f>IF(NT_D!H52&lt;&gt;"",NT_D!H52,"")</f>
      </c>
      <c r="H380" s="30">
        <f t="shared" si="20"/>
        <v>19314064.14</v>
      </c>
      <c r="I380" s="4">
        <f t="shared" si="21"/>
        <v>0</v>
      </c>
      <c r="J380" s="31">
        <f>NT_D!I52</f>
        <v>11329769</v>
      </c>
      <c r="K380" s="31">
        <f>NT_D!J52</f>
        <v>17328049</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119323698.13</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322395200</v>
      </c>
      <c r="K381" s="31">
        <f>PK!J10</f>
        <v>54812670</v>
      </c>
      <c r="L381" s="31">
        <f>PK!K10</f>
        <v>0</v>
      </c>
      <c r="M381" s="31">
        <f>PK!L10</f>
        <v>0</v>
      </c>
      <c r="N381" s="31">
        <f>PK!M10</f>
        <v>0</v>
      </c>
      <c r="O381" s="31">
        <f>PK!N10</f>
        <v>0</v>
      </c>
      <c r="P381" s="31">
        <f>PK!O10</f>
        <v>859</v>
      </c>
      <c r="Q381" s="31">
        <f>PK!P10</f>
        <v>0</v>
      </c>
      <c r="R381" s="31">
        <f>PK!Q10</f>
        <v>0</v>
      </c>
      <c r="S381" s="31">
        <f>PK!R10</f>
        <v>0</v>
      </c>
      <c r="T381" s="31">
        <f>PK!S10</f>
        <v>0</v>
      </c>
      <c r="U381" s="31">
        <f>PK!T10</f>
        <v>4384643</v>
      </c>
      <c r="V381" s="31">
        <f>PK!U10</f>
        <v>-1712</v>
      </c>
      <c r="W381" s="31">
        <f>PK!V10</f>
        <v>381591660</v>
      </c>
      <c r="X381" s="31">
        <f>PK!W10</f>
        <v>0</v>
      </c>
      <c r="Y381" s="31">
        <f>PK!X10</f>
        <v>381591660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132284314.33000001</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322395200</v>
      </c>
      <c r="K384" s="31">
        <f>PK!J13</f>
        <v>54812670</v>
      </c>
      <c r="L384" s="31">
        <f>PK!K13</f>
        <v>0</v>
      </c>
      <c r="M384" s="31">
        <f>PK!L13</f>
        <v>0</v>
      </c>
      <c r="N384" s="31">
        <f>PK!M13</f>
        <v>0</v>
      </c>
      <c r="O384" s="31">
        <f>PK!N13</f>
        <v>0</v>
      </c>
      <c r="P384" s="31">
        <f>PK!O13</f>
        <v>859</v>
      </c>
      <c r="Q384" s="31">
        <f>PK!P13</f>
        <v>0</v>
      </c>
      <c r="R384" s="31">
        <f>PK!Q13</f>
        <v>0</v>
      </c>
      <c r="S384" s="31">
        <f>PK!R13</f>
        <v>0</v>
      </c>
      <c r="T384" s="31">
        <f>PK!S13</f>
        <v>0</v>
      </c>
      <c r="U384" s="31">
        <f>PK!T13</f>
        <v>4384643</v>
      </c>
      <c r="V384" s="31">
        <f>PK!U13</f>
        <v>-1712</v>
      </c>
      <c r="W384" s="31">
        <f>PK!V13</f>
        <v>381591660</v>
      </c>
      <c r="X384" s="31">
        <f>PK!W13</f>
        <v>0</v>
      </c>
      <c r="Y384" s="31">
        <f>PK!X13</f>
        <v>381591660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703038</v>
      </c>
      <c r="I393" s="31">
        <f t="shared" si="23"/>
        <v>0</v>
      </c>
      <c r="J393" s="31">
        <f>PK!I22</f>
        <v>0</v>
      </c>
      <c r="K393" s="31">
        <f>PK!J22</f>
        <v>1255425</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1255425</v>
      </c>
      <c r="X393" s="31">
        <f>PK!W22</f>
        <v>0</v>
      </c>
      <c r="Y393" s="31">
        <f>PK!X22</f>
        <v>1255425</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215322339.92999998</v>
      </c>
      <c r="I403" s="31">
        <f t="shared" si="23"/>
        <v>0</v>
      </c>
      <c r="J403" s="31">
        <f>PK!I32</f>
        <v>322395200</v>
      </c>
      <c r="K403" s="31">
        <f>PK!J32</f>
        <v>56068095</v>
      </c>
      <c r="L403" s="31">
        <f>PK!K32</f>
        <v>0</v>
      </c>
      <c r="M403" s="31">
        <f>PK!L32</f>
        <v>0</v>
      </c>
      <c r="N403" s="31">
        <f>PK!M32</f>
        <v>0</v>
      </c>
      <c r="O403" s="31">
        <f>PK!N32</f>
        <v>0</v>
      </c>
      <c r="P403" s="31">
        <f>PK!O32</f>
        <v>859</v>
      </c>
      <c r="Q403" s="31">
        <f>PK!P32</f>
        <v>0</v>
      </c>
      <c r="R403" s="31">
        <f>PK!Q32</f>
        <v>0</v>
      </c>
      <c r="S403" s="31">
        <f>PK!R32</f>
        <v>0</v>
      </c>
      <c r="T403" s="31">
        <f>PK!S32</f>
        <v>0</v>
      </c>
      <c r="U403" s="31">
        <f>PK!T32</f>
        <v>4384643</v>
      </c>
      <c r="V403" s="31">
        <f>PK!U32</f>
        <v>-1712</v>
      </c>
      <c r="W403" s="31">
        <f>PK!V32</f>
        <v>382847085</v>
      </c>
      <c r="X403" s="31">
        <f>PK!W32</f>
        <v>0</v>
      </c>
      <c r="Y403" s="31">
        <f>PK!X32</f>
        <v>382847085</v>
      </c>
    </row>
    <row r="404" spans="4:25" ht="12.75">
      <c r="D404" s="4" t="s">
        <v>542</v>
      </c>
      <c r="E404" s="4">
        <v>6</v>
      </c>
      <c r="F404" s="4">
        <f>PK!G34</f>
        <v>24</v>
      </c>
      <c r="G404" s="4">
        <f>IF(PK!H34&lt;&gt;"",PK!H34,"")</f>
      </c>
      <c r="H404" s="30">
        <f t="shared" si="22"/>
        <v>602604</v>
      </c>
      <c r="I404" s="31">
        <f t="shared" si="23"/>
        <v>0</v>
      </c>
      <c r="J404" s="31">
        <f>PK!I34</f>
        <v>0</v>
      </c>
      <c r="K404" s="31">
        <f>PK!J34</f>
        <v>1255425</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627712.5</v>
      </c>
      <c r="I405" s="31">
        <f t="shared" si="23"/>
        <v>0</v>
      </c>
      <c r="J405" s="31">
        <f>PK!I35</f>
        <v>0</v>
      </c>
      <c r="K405" s="31">
        <f>PK!J35</f>
        <v>1255425</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232703595.52999997</v>
      </c>
      <c r="I407" s="31">
        <f t="shared" si="23"/>
        <v>0</v>
      </c>
      <c r="J407" s="31">
        <f>PK!I38</f>
        <v>322395200</v>
      </c>
      <c r="K407" s="31">
        <f>PK!J38</f>
        <v>56068095</v>
      </c>
      <c r="L407" s="31">
        <f>PK!K38</f>
        <v>0</v>
      </c>
      <c r="M407" s="31">
        <f>PK!L38</f>
        <v>0</v>
      </c>
      <c r="N407" s="31">
        <f>PK!M38</f>
        <v>0</v>
      </c>
      <c r="O407" s="31">
        <f>PK!N38</f>
        <v>0</v>
      </c>
      <c r="P407" s="31">
        <f>PK!O38</f>
        <v>859</v>
      </c>
      <c r="Q407" s="31">
        <f>PK!P38</f>
        <v>0</v>
      </c>
      <c r="R407" s="31">
        <f>PK!Q38</f>
        <v>0</v>
      </c>
      <c r="S407" s="31">
        <f>PK!R38</f>
        <v>0</v>
      </c>
      <c r="T407" s="31">
        <f>PK!S38</f>
        <v>0</v>
      </c>
      <c r="U407" s="31">
        <f>PK!T38</f>
        <v>4384643</v>
      </c>
      <c r="V407" s="31">
        <f>PK!U38</f>
        <v>-1712</v>
      </c>
      <c r="W407" s="31">
        <f>PK!V38</f>
        <v>382847085</v>
      </c>
      <c r="X407" s="31">
        <f>PK!W38</f>
        <v>0</v>
      </c>
      <c r="Y407" s="31">
        <f>PK!X38</f>
        <v>382847085</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245739537.23</v>
      </c>
      <c r="I410" s="31">
        <f t="shared" si="23"/>
        <v>0</v>
      </c>
      <c r="J410" s="31">
        <f>PK!I41</f>
        <v>322395200</v>
      </c>
      <c r="K410" s="31">
        <f>PK!J41</f>
        <v>56068095</v>
      </c>
      <c r="L410" s="31">
        <f>PK!K41</f>
        <v>0</v>
      </c>
      <c r="M410" s="31">
        <f>PK!L41</f>
        <v>0</v>
      </c>
      <c r="N410" s="31">
        <f>PK!M41</f>
        <v>0</v>
      </c>
      <c r="O410" s="31">
        <f>PK!N41</f>
        <v>0</v>
      </c>
      <c r="P410" s="31">
        <f>PK!O41</f>
        <v>859</v>
      </c>
      <c r="Q410" s="31">
        <f>PK!P41</f>
        <v>0</v>
      </c>
      <c r="R410" s="31">
        <f>PK!Q41</f>
        <v>0</v>
      </c>
      <c r="S410" s="31">
        <f>PK!R41</f>
        <v>0</v>
      </c>
      <c r="T410" s="31">
        <f>PK!S41</f>
        <v>0</v>
      </c>
      <c r="U410" s="31">
        <f>PK!T41</f>
        <v>4384643</v>
      </c>
      <c r="V410" s="31">
        <f>PK!U41</f>
        <v>-1712</v>
      </c>
      <c r="W410" s="31">
        <f>PK!V41</f>
        <v>382847085</v>
      </c>
      <c r="X410" s="31">
        <f>PK!W41</f>
        <v>0</v>
      </c>
      <c r="Y410" s="31">
        <f>PK!X41</f>
        <v>382847085</v>
      </c>
    </row>
    <row r="411" spans="4:25" ht="12.75">
      <c r="D411" s="4" t="s">
        <v>542</v>
      </c>
      <c r="E411" s="4">
        <v>6</v>
      </c>
      <c r="F411" s="4">
        <f>PK!G42</f>
        <v>31</v>
      </c>
      <c r="G411" s="4">
        <f>IF(PK!H42&lt;&gt;"",PK!H42,"")</f>
      </c>
      <c r="H411" s="30">
        <f t="shared" si="22"/>
        <v>-537268.23</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-1249461</v>
      </c>
      <c r="W411" s="31">
        <f>PK!V42</f>
        <v>-1249461</v>
      </c>
      <c r="X411" s="31">
        <f>PK!W42</f>
        <v>0</v>
      </c>
      <c r="Y411" s="31">
        <f>PK!X42</f>
        <v>-1249461</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912877.5599999999</v>
      </c>
      <c r="I419" s="31">
        <f t="shared" si="23"/>
        <v>0</v>
      </c>
      <c r="J419" s="31">
        <f>PK!I50</f>
        <v>0</v>
      </c>
      <c r="K419" s="31">
        <f>PK!J50</f>
        <v>845257</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845257</v>
      </c>
      <c r="X419" s="31">
        <f>PK!W50</f>
        <v>0</v>
      </c>
      <c r="Y419" s="31">
        <f>PK!X50</f>
        <v>845257</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17.120000000000005</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-1712</v>
      </c>
      <c r="V426" s="31">
        <f>PK!U57</f>
        <v>1712</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328845179.18</v>
      </c>
      <c r="I429" s="31">
        <f t="shared" si="23"/>
        <v>0</v>
      </c>
      <c r="J429" s="31">
        <f>PK!I60</f>
        <v>322395200</v>
      </c>
      <c r="K429" s="31">
        <f>PK!J60</f>
        <v>56913352</v>
      </c>
      <c r="L429" s="31">
        <f>PK!K60</f>
        <v>0</v>
      </c>
      <c r="M429" s="31">
        <f>PK!L60</f>
        <v>0</v>
      </c>
      <c r="N429" s="31">
        <f>PK!M60</f>
        <v>0</v>
      </c>
      <c r="O429" s="31">
        <f>PK!N60</f>
        <v>0</v>
      </c>
      <c r="P429" s="31">
        <f>PK!O60</f>
        <v>859</v>
      </c>
      <c r="Q429" s="31">
        <f>PK!P60</f>
        <v>0</v>
      </c>
      <c r="R429" s="31">
        <f>PK!Q60</f>
        <v>0</v>
      </c>
      <c r="S429" s="31">
        <f>PK!R60</f>
        <v>0</v>
      </c>
      <c r="T429" s="31">
        <f>PK!S60</f>
        <v>0</v>
      </c>
      <c r="U429" s="31">
        <f>PK!T60</f>
        <v>4382931</v>
      </c>
      <c r="V429" s="31">
        <f>PK!U60</f>
        <v>-1249461</v>
      </c>
      <c r="W429" s="31">
        <f>PK!V60</f>
        <v>382442881</v>
      </c>
      <c r="X429" s="31">
        <f>PK!W60</f>
        <v>0</v>
      </c>
      <c r="Y429" s="31">
        <f>PK!X60</f>
        <v>382442881</v>
      </c>
    </row>
    <row r="430" spans="4:25" ht="12.75">
      <c r="D430" s="4" t="s">
        <v>542</v>
      </c>
      <c r="E430" s="4">
        <v>6</v>
      </c>
      <c r="F430" s="4">
        <f>PK!G62</f>
        <v>50</v>
      </c>
      <c r="G430" s="4">
        <f>IF(PK!H62&lt;&gt;"",PK!H62,"")</f>
      </c>
      <c r="H430" s="30">
        <f t="shared" si="22"/>
        <v>845257</v>
      </c>
      <c r="I430" s="31">
        <f t="shared" si="23"/>
        <v>0</v>
      </c>
      <c r="J430" s="31">
        <f>PK!I62</f>
        <v>0</v>
      </c>
      <c r="K430" s="31">
        <f>PK!J62</f>
        <v>845257</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862162.14</v>
      </c>
      <c r="I431" s="31">
        <f t="shared" si="23"/>
        <v>0</v>
      </c>
      <c r="J431" s="31">
        <f>PK!I63</f>
        <v>0</v>
      </c>
      <c r="K431" s="31">
        <f>PK!J63</f>
        <v>845257</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9"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PONIKVE VODA d.o.o.Krk</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52211079872</v>
      </c>
      <c r="V3" s="211" t="s">
        <v>2355</v>
      </c>
      <c r="W3" s="232">
        <f>RefStr!C31</f>
        <v>51500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64125437677</v>
      </c>
      <c r="V4" s="211" t="s">
        <v>2356</v>
      </c>
      <c r="W4" s="232" t="str">
        <f>RefStr!F31</f>
        <v>Krk</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03292525</v>
      </c>
      <c r="V5" s="211" t="s">
        <v>2357</v>
      </c>
      <c r="W5" s="232" t="str">
        <f>RefStr!C33</f>
        <v>Vršanska 14</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1</v>
      </c>
      <c r="P6" s="212">
        <f>NT_D!Q2</f>
        <v>1</v>
      </c>
      <c r="Q6" s="232">
        <f>NT_D!Q3</f>
        <v>1</v>
      </c>
      <c r="R6" s="211" t="s">
        <v>1195</v>
      </c>
      <c r="S6" s="232" t="str">
        <f>RefStr!C21</f>
        <v>NE</v>
      </c>
      <c r="T6" s="211" t="s">
        <v>2353</v>
      </c>
      <c r="U6" s="232" t="str">
        <f>RefStr!M27</f>
        <v>040033437</v>
      </c>
      <c r="V6" s="211" t="s">
        <v>2568</v>
      </c>
      <c r="W6" s="232" t="str">
        <f>RefStr!L35</f>
        <v>051654620</v>
      </c>
      <c r="X6" s="211" t="s">
        <v>2514</v>
      </c>
      <c r="Y6" s="232" t="str">
        <f>RefStr!C68</f>
        <v>Zvjezdana Ponoš</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1</v>
      </c>
      <c r="V7" s="211" t="s">
        <v>1193</v>
      </c>
      <c r="W7" s="232" t="str">
        <f>TRIM(UPPER(RefStr!C35))</f>
        <v>PONIKVE@PONIKVE.HR</v>
      </c>
      <c r="X7" s="211" t="s">
        <v>2515</v>
      </c>
      <c r="Y7" s="232" t="str">
        <f>RefStr!C70</f>
        <v>051654620</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3600</v>
      </c>
      <c r="X8" s="211" t="s">
        <v>2516</v>
      </c>
      <c r="Y8" s="232" t="str">
        <f>TRIM(UPPER(RefStr!C72))</f>
        <v>ZVJEZDANA.PONOS@PONIKVE.HR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92</v>
      </c>
      <c r="Q9" s="231">
        <f>RefStr!F58</f>
        <v>93</v>
      </c>
      <c r="R9" s="211" t="s">
        <v>1860</v>
      </c>
      <c r="S9" s="232">
        <f>IF(RefStr!F4&lt;&gt;"",RefStr!F4,0)</f>
        <v>44196</v>
      </c>
      <c r="T9" s="211" t="s">
        <v>1821</v>
      </c>
      <c r="U9" s="232">
        <f>RefStr!C39</f>
        <v>215</v>
      </c>
      <c r="V9" s="211" t="s">
        <v>1414</v>
      </c>
      <c r="W9" s="232" t="str">
        <f>RefStr!D42</f>
        <v>Skupljanje, pročišćavanje i opskrba vo...</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91</v>
      </c>
      <c r="Q10" s="233">
        <f>RefStr!F56</f>
        <v>89</v>
      </c>
      <c r="R10" s="213" t="s">
        <v>1863</v>
      </c>
      <c r="S10" s="233">
        <f>RefStr!C23</f>
        <v>1</v>
      </c>
      <c r="T10" s="213" t="s">
        <v>2573</v>
      </c>
      <c r="U10" s="233" t="str">
        <f>RefStr!D39</f>
        <v>Krk</v>
      </c>
      <c r="V10" s="240"/>
      <c r="W10" s="241"/>
      <c r="X10" s="242" t="s">
        <v>1974</v>
      </c>
      <c r="Y10" s="243">
        <f>RefStr!F12</f>
        <v>2020</v>
      </c>
      <c r="Z10" s="213" t="s">
        <v>209</v>
      </c>
      <c r="AA10" s="233" t="str">
        <f>RefStr!A75</f>
        <v>me.sc.Ivica Plišićdipl.građ.</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C:\Users\Zvjezdana.LOCAL\AppData\Local\Microsoft\Windows\INetCache\Content.Outlook\W0JUVVTJ\[GFI-POD Godišnji financijski izvještaj poduzetnika (1).xls]Bilanca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9.75"/>
    <row r="154" ht="9.7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J32" sqref="J32"/>
      <selection pane="bottomLeft" activeCell="J32" sqref="J3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2" activePane="bottomLeft" state="frozen"/>
      <selection pane="topLeft" activeCell="J32" sqref="J32"/>
      <selection pane="bottomLeft" activeCell="J32" sqref="J3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329252.5</v>
      </c>
    </row>
    <row r="13" spans="4:17" ht="9.75" customHeight="1">
      <c r="D13" s="156"/>
      <c r="E13" s="162"/>
      <c r="H13" s="27"/>
      <c r="I13" s="163"/>
      <c r="J13" s="163"/>
      <c r="K13" s="156"/>
      <c r="L13" s="156"/>
      <c r="M13" s="156"/>
      <c r="N13" s="156"/>
      <c r="P13" s="54" t="s">
        <v>2353</v>
      </c>
      <c r="Q13" s="55">
        <f>INT(VALUE(M27))/50</f>
        <v>800668.74</v>
      </c>
    </row>
    <row r="14" spans="1:17" ht="15">
      <c r="A14" s="340" t="s">
        <v>2714</v>
      </c>
      <c r="B14" s="340"/>
      <c r="C14" s="340"/>
      <c r="D14" s="164"/>
      <c r="E14" s="165"/>
      <c r="F14" s="338"/>
      <c r="G14" s="339"/>
      <c r="H14" s="339"/>
      <c r="I14" s="156"/>
      <c r="J14" s="346" t="s">
        <v>2100</v>
      </c>
      <c r="K14" s="347"/>
      <c r="L14" s="347"/>
      <c r="M14" s="347"/>
      <c r="N14" s="347"/>
      <c r="P14" s="54" t="s">
        <v>2718</v>
      </c>
      <c r="Q14" s="55">
        <f>INT(VALUE(C27))/100</f>
        <v>641254376.77</v>
      </c>
    </row>
    <row r="15" spans="1:17" ht="19.5" customHeight="1">
      <c r="A15" s="343">
        <f>Skriveni!B59</f>
        <v>15065829640.349998</v>
      </c>
      <c r="B15" s="344"/>
      <c r="C15" s="345"/>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515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11</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2953</v>
      </c>
      <c r="M21" s="285"/>
      <c r="N21" s="286"/>
      <c r="P21" s="54" t="s">
        <v>1821</v>
      </c>
      <c r="Q21" s="55">
        <f>INT(VALUE(C39))</f>
        <v>215</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2954</v>
      </c>
      <c r="D27" s="378"/>
      <c r="E27" s="286"/>
      <c r="F27" s="290" t="s">
        <v>2406</v>
      </c>
      <c r="G27" s="322"/>
      <c r="H27" s="284" t="s">
        <v>2955</v>
      </c>
      <c r="I27" s="289"/>
      <c r="J27" s="290" t="s">
        <v>2099</v>
      </c>
      <c r="K27" s="291"/>
      <c r="L27" s="292"/>
      <c r="M27" s="284" t="s">
        <v>2956</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2957</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51500</v>
      </c>
      <c r="D31" s="329" t="s">
        <v>693</v>
      </c>
      <c r="E31" s="330"/>
      <c r="F31" s="323" t="s">
        <v>191</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215</v>
      </c>
      <c r="D39" s="326" t="str">
        <f>IF(C39="","Šifra grada/općine nije upisana",IF(ISNA(LOOKUP(C39,A177:A732,A177:A732)),"Šifra grada/općine ne postoji",IF(LOOKUP(C39,A177:A732,A177:A732)&lt;&gt;C39,"Šifra grada/općine ne postoji",LOOKUP(C39,A177:A732,B177:B732))))</f>
        <v>Krk</v>
      </c>
      <c r="E39" s="327"/>
      <c r="F39" s="327"/>
      <c r="G39" s="327"/>
      <c r="H39" s="314" t="s">
        <v>2222</v>
      </c>
      <c r="I39" s="292"/>
      <c r="J39" s="58">
        <f>IF(C39&gt;0,LOOKUP(C39,A177:A732,C177:C732),"")</f>
        <v>8</v>
      </c>
      <c r="K39" s="315" t="str">
        <f>IF(J39="","Treba prvo upisati šifru grada/općine",LOOKUP(J39,A153:A173,B153:B173))</f>
        <v>PRIMORSKO-GORANSKA</v>
      </c>
      <c r="L39" s="315"/>
      <c r="M39" s="315"/>
      <c r="N39" s="315"/>
      <c r="P39" s="54" t="s">
        <v>1826</v>
      </c>
      <c r="Q39" s="55">
        <f>C56+2*F56+3*C58+4*F58</f>
        <v>917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28</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522110798.72</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91</v>
      </c>
      <c r="D56" s="272" t="s">
        <v>2898</v>
      </c>
      <c r="E56" s="273"/>
      <c r="F56" s="44">
        <v>89</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92</v>
      </c>
      <c r="D58" s="309" t="s">
        <v>2898</v>
      </c>
      <c r="E58" s="309"/>
      <c r="F58" s="44">
        <v>93</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104" activePane="bottomLeft" state="frozen"/>
      <selection pane="topLeft" activeCell="J32" sqref="J32"/>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64125437677; PONIKVE VODA d.o.o.Krk</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737377551</v>
      </c>
      <c r="J10" s="70">
        <f>J11+J18+J28+J39+J44</f>
        <v>812170994</v>
      </c>
    </row>
    <row r="11" spans="1:10" ht="13.5" customHeight="1">
      <c r="A11" s="382" t="s">
        <v>1850</v>
      </c>
      <c r="B11" s="382"/>
      <c r="C11" s="382"/>
      <c r="D11" s="382"/>
      <c r="E11" s="382"/>
      <c r="F11" s="382"/>
      <c r="G11" s="19">
        <v>3</v>
      </c>
      <c r="H11" s="20"/>
      <c r="I11" s="70">
        <f>SUM(I12:I17)</f>
        <v>2200746</v>
      </c>
      <c r="J11" s="70">
        <f>SUM(J12:J17)</f>
        <v>1914286</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2200746</v>
      </c>
      <c r="J17" s="71">
        <v>1914286</v>
      </c>
    </row>
    <row r="18" spans="1:10" ht="13.5" customHeight="1">
      <c r="A18" s="382" t="s">
        <v>731</v>
      </c>
      <c r="B18" s="382"/>
      <c r="C18" s="382"/>
      <c r="D18" s="382"/>
      <c r="E18" s="382"/>
      <c r="F18" s="382"/>
      <c r="G18" s="19">
        <v>10</v>
      </c>
      <c r="H18" s="20"/>
      <c r="I18" s="70">
        <f>SUM(I19:I27)</f>
        <v>734503205</v>
      </c>
      <c r="J18" s="70">
        <f>SUM(J19:J27)</f>
        <v>809583108</v>
      </c>
    </row>
    <row r="19" spans="1:10" ht="13.5" customHeight="1">
      <c r="A19" s="381" t="s">
        <v>2176</v>
      </c>
      <c r="B19" s="381"/>
      <c r="C19" s="381"/>
      <c r="D19" s="381"/>
      <c r="E19" s="381"/>
      <c r="F19" s="381"/>
      <c r="G19" s="19">
        <v>11</v>
      </c>
      <c r="H19" s="20"/>
      <c r="I19" s="71">
        <v>12132621</v>
      </c>
      <c r="J19" s="71">
        <v>11930485</v>
      </c>
    </row>
    <row r="20" spans="1:10" ht="13.5" customHeight="1">
      <c r="A20" s="381" t="s">
        <v>543</v>
      </c>
      <c r="B20" s="381"/>
      <c r="C20" s="381"/>
      <c r="D20" s="381"/>
      <c r="E20" s="381"/>
      <c r="F20" s="381"/>
      <c r="G20" s="19">
        <v>12</v>
      </c>
      <c r="H20" s="20"/>
      <c r="I20" s="71">
        <v>500838415</v>
      </c>
      <c r="J20" s="71">
        <v>503271741</v>
      </c>
    </row>
    <row r="21" spans="1:10" ht="13.5" customHeight="1">
      <c r="A21" s="381" t="s">
        <v>2177</v>
      </c>
      <c r="B21" s="381"/>
      <c r="C21" s="381"/>
      <c r="D21" s="381"/>
      <c r="E21" s="381"/>
      <c r="F21" s="381"/>
      <c r="G21" s="19">
        <v>13</v>
      </c>
      <c r="H21" s="20"/>
      <c r="I21" s="71">
        <v>18207557</v>
      </c>
      <c r="J21" s="71">
        <v>16313966</v>
      </c>
    </row>
    <row r="22" spans="1:10" ht="13.5" customHeight="1">
      <c r="A22" s="381" t="s">
        <v>2290</v>
      </c>
      <c r="B22" s="381"/>
      <c r="C22" s="381"/>
      <c r="D22" s="381"/>
      <c r="E22" s="381"/>
      <c r="F22" s="381"/>
      <c r="G22" s="19">
        <v>14</v>
      </c>
      <c r="H22" s="20"/>
      <c r="I22" s="71">
        <v>6144008</v>
      </c>
      <c r="J22" s="71">
        <v>5470164</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v>6157850</v>
      </c>
      <c r="J24" s="71">
        <v>5968071</v>
      </c>
    </row>
    <row r="25" spans="1:10" ht="13.5" customHeight="1">
      <c r="A25" s="381" t="s">
        <v>1083</v>
      </c>
      <c r="B25" s="381"/>
      <c r="C25" s="381"/>
      <c r="D25" s="381"/>
      <c r="E25" s="381"/>
      <c r="F25" s="381"/>
      <c r="G25" s="19">
        <v>17</v>
      </c>
      <c r="H25" s="20"/>
      <c r="I25" s="71">
        <v>191022754</v>
      </c>
      <c r="J25" s="71">
        <v>266628681</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673600</v>
      </c>
      <c r="J28" s="70">
        <f>SUM(J29:J38)</f>
        <v>673600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v>673600</v>
      </c>
      <c r="J38" s="71">
        <v>673600</v>
      </c>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24562796</v>
      </c>
      <c r="J45" s="70">
        <f>J46+J54+J61+J71</f>
        <v>30703674</v>
      </c>
    </row>
    <row r="46" spans="1:10" ht="13.5" customHeight="1">
      <c r="A46" s="382" t="s">
        <v>2647</v>
      </c>
      <c r="B46" s="382"/>
      <c r="C46" s="382"/>
      <c r="D46" s="382"/>
      <c r="E46" s="382"/>
      <c r="F46" s="382"/>
      <c r="G46" s="19">
        <v>38</v>
      </c>
      <c r="H46" s="20"/>
      <c r="I46" s="70">
        <f>SUM(I47:I53)</f>
        <v>3625395</v>
      </c>
      <c r="J46" s="70">
        <f>SUM(J47:J53)</f>
        <v>2726704</v>
      </c>
    </row>
    <row r="47" spans="1:10" ht="13.5" customHeight="1">
      <c r="A47" s="381" t="s">
        <v>970</v>
      </c>
      <c r="B47" s="381"/>
      <c r="C47" s="381"/>
      <c r="D47" s="381"/>
      <c r="E47" s="381"/>
      <c r="F47" s="381"/>
      <c r="G47" s="19">
        <v>39</v>
      </c>
      <c r="H47" s="20"/>
      <c r="I47" s="71">
        <v>3609446</v>
      </c>
      <c r="J47" s="71">
        <v>2713409</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v>15949</v>
      </c>
      <c r="J51" s="71">
        <v>13295</v>
      </c>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9607632</v>
      </c>
      <c r="J54" s="70">
        <f>SUM(J55:J60)</f>
        <v>10648921</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9016491</v>
      </c>
      <c r="J57" s="71">
        <v>10240919</v>
      </c>
    </row>
    <row r="58" spans="1:10" ht="13.5" customHeight="1">
      <c r="A58" s="381" t="s">
        <v>350</v>
      </c>
      <c r="B58" s="381"/>
      <c r="C58" s="381"/>
      <c r="D58" s="381"/>
      <c r="E58" s="381"/>
      <c r="F58" s="381"/>
      <c r="G58" s="19">
        <v>50</v>
      </c>
      <c r="H58" s="20"/>
      <c r="I58" s="71">
        <v>5833</v>
      </c>
      <c r="J58" s="71">
        <v>1500</v>
      </c>
    </row>
    <row r="59" spans="1:10" ht="13.5" customHeight="1">
      <c r="A59" s="381" t="s">
        <v>351</v>
      </c>
      <c r="B59" s="381"/>
      <c r="C59" s="381"/>
      <c r="D59" s="381"/>
      <c r="E59" s="381"/>
      <c r="F59" s="381"/>
      <c r="G59" s="19">
        <v>51</v>
      </c>
      <c r="H59" s="20"/>
      <c r="I59" s="71">
        <v>81421</v>
      </c>
      <c r="J59" s="71">
        <v>57602</v>
      </c>
    </row>
    <row r="60" spans="1:10" ht="13.5" customHeight="1">
      <c r="A60" s="381" t="s">
        <v>2638</v>
      </c>
      <c r="B60" s="381"/>
      <c r="C60" s="381"/>
      <c r="D60" s="381"/>
      <c r="E60" s="381"/>
      <c r="F60" s="381"/>
      <c r="G60" s="19">
        <v>52</v>
      </c>
      <c r="H60" s="20"/>
      <c r="I60" s="71">
        <v>503887</v>
      </c>
      <c r="J60" s="71">
        <v>348900</v>
      </c>
    </row>
    <row r="61" spans="1:10" ht="13.5" customHeight="1">
      <c r="A61" s="382" t="s">
        <v>2649</v>
      </c>
      <c r="B61" s="382"/>
      <c r="C61" s="382"/>
      <c r="D61" s="382"/>
      <c r="E61" s="382"/>
      <c r="F61" s="382"/>
      <c r="G61" s="19">
        <v>53</v>
      </c>
      <c r="H61" s="20"/>
      <c r="I61" s="70">
        <f>SUM(I62:I70)</f>
        <v>1395136</v>
      </c>
      <c r="J61" s="70">
        <f>SUM(J62:J70)</f>
        <v>1415714</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1395136</v>
      </c>
      <c r="J69" s="71">
        <v>1415714</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9934633</v>
      </c>
      <c r="J71" s="71">
        <v>15912335</v>
      </c>
    </row>
    <row r="72" spans="1:10" ht="24.75" customHeight="1">
      <c r="A72" s="383" t="s">
        <v>1558</v>
      </c>
      <c r="B72" s="383"/>
      <c r="C72" s="383"/>
      <c r="D72" s="383"/>
      <c r="E72" s="383"/>
      <c r="F72" s="383"/>
      <c r="G72" s="19">
        <v>64</v>
      </c>
      <c r="H72" s="20"/>
      <c r="I72" s="71">
        <v>457407</v>
      </c>
      <c r="J72" s="71">
        <v>768614</v>
      </c>
    </row>
    <row r="73" spans="1:10" ht="13.5" customHeight="1">
      <c r="A73" s="383" t="s">
        <v>2650</v>
      </c>
      <c r="B73" s="383"/>
      <c r="C73" s="383"/>
      <c r="D73" s="383"/>
      <c r="E73" s="383"/>
      <c r="F73" s="383"/>
      <c r="G73" s="19">
        <v>65</v>
      </c>
      <c r="H73" s="20"/>
      <c r="I73" s="70">
        <f>I9+I10+I45+I72</f>
        <v>762397754</v>
      </c>
      <c r="J73" s="70">
        <f>J9+J10+J45+J72</f>
        <v>843643282</v>
      </c>
    </row>
    <row r="74" spans="1:10" ht="13.5" customHeight="1">
      <c r="A74" s="384" t="s">
        <v>257</v>
      </c>
      <c r="B74" s="384"/>
      <c r="C74" s="384"/>
      <c r="D74" s="384"/>
      <c r="E74" s="384"/>
      <c r="F74" s="384"/>
      <c r="G74" s="21">
        <v>66</v>
      </c>
      <c r="H74" s="22"/>
      <c r="I74" s="72">
        <v>216467463</v>
      </c>
      <c r="J74" s="72">
        <v>236565275</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382847085</v>
      </c>
      <c r="J76" s="70">
        <f>J77+J78+J79+J85+J86+J90+J93+J96</f>
        <v>382442881</v>
      </c>
      <c r="L76" s="2" t="s">
        <v>2591</v>
      </c>
    </row>
    <row r="77" spans="1:10" ht="13.5" customHeight="1">
      <c r="A77" s="382" t="s">
        <v>935</v>
      </c>
      <c r="B77" s="382"/>
      <c r="C77" s="382"/>
      <c r="D77" s="382"/>
      <c r="E77" s="382"/>
      <c r="F77" s="382"/>
      <c r="G77" s="19">
        <v>68</v>
      </c>
      <c r="H77" s="20"/>
      <c r="I77" s="71">
        <v>322395200</v>
      </c>
      <c r="J77" s="71">
        <v>322395200</v>
      </c>
    </row>
    <row r="78" spans="1:12" ht="13.5" customHeight="1">
      <c r="A78" s="382" t="s">
        <v>936</v>
      </c>
      <c r="B78" s="382"/>
      <c r="C78" s="382"/>
      <c r="D78" s="382"/>
      <c r="E78" s="382"/>
      <c r="F78" s="382"/>
      <c r="G78" s="19">
        <v>69</v>
      </c>
      <c r="H78" s="20"/>
      <c r="I78" s="71">
        <v>56068095</v>
      </c>
      <c r="J78" s="71">
        <v>56913352</v>
      </c>
      <c r="L78" s="2" t="s">
        <v>2591</v>
      </c>
    </row>
    <row r="79" spans="1:12" ht="13.5" customHeight="1">
      <c r="A79" s="382" t="s">
        <v>2473</v>
      </c>
      <c r="B79" s="382"/>
      <c r="C79" s="382"/>
      <c r="D79" s="382"/>
      <c r="E79" s="382"/>
      <c r="F79" s="382"/>
      <c r="G79" s="19">
        <v>70</v>
      </c>
      <c r="H79" s="20"/>
      <c r="I79" s="70">
        <f>I80+I81-I82+I83+I84</f>
        <v>859</v>
      </c>
      <c r="J79" s="70">
        <f>J80+J81-J82+J83+J84</f>
        <v>859</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859</v>
      </c>
      <c r="J84" s="71">
        <v>859</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4384643</v>
      </c>
      <c r="J90" s="70">
        <f>J91-J92</f>
        <v>4382931</v>
      </c>
      <c r="L90" s="2" t="s">
        <v>2591</v>
      </c>
    </row>
    <row r="91" spans="1:10" ht="13.5" customHeight="1">
      <c r="A91" s="381" t="s">
        <v>1139</v>
      </c>
      <c r="B91" s="381"/>
      <c r="C91" s="381"/>
      <c r="D91" s="381"/>
      <c r="E91" s="381"/>
      <c r="F91" s="381"/>
      <c r="G91" s="19">
        <v>82</v>
      </c>
      <c r="H91" s="20"/>
      <c r="I91" s="71">
        <v>4384643</v>
      </c>
      <c r="J91" s="71">
        <v>4382931</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-1712</v>
      </c>
      <c r="J93" s="70">
        <f>J94-J95</f>
        <v>-1249461</v>
      </c>
      <c r="L93" s="2" t="s">
        <v>2591</v>
      </c>
    </row>
    <row r="94" spans="1:10" ht="13.5" customHeight="1">
      <c r="A94" s="381" t="s">
        <v>2640</v>
      </c>
      <c r="B94" s="381"/>
      <c r="C94" s="381"/>
      <c r="D94" s="381"/>
      <c r="E94" s="381"/>
      <c r="F94" s="381"/>
      <c r="G94" s="19">
        <v>85</v>
      </c>
      <c r="H94" s="20"/>
      <c r="I94" s="71"/>
      <c r="J94" s="71"/>
    </row>
    <row r="95" spans="1:10" ht="13.5" customHeight="1">
      <c r="A95" s="381" t="s">
        <v>1141</v>
      </c>
      <c r="B95" s="381"/>
      <c r="C95" s="381"/>
      <c r="D95" s="381"/>
      <c r="E95" s="381"/>
      <c r="F95" s="381"/>
      <c r="G95" s="19">
        <v>86</v>
      </c>
      <c r="H95" s="20"/>
      <c r="I95" s="71">
        <v>1712</v>
      </c>
      <c r="J95" s="71">
        <v>1249461</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46611544</v>
      </c>
      <c r="J104" s="70">
        <f>SUM(J105:J115)</f>
        <v>62102829</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46611544</v>
      </c>
      <c r="J110" s="71">
        <v>62102829</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25136942</v>
      </c>
      <c r="J116" s="70">
        <f>SUM(J117:J130)</f>
        <v>51679274</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v>50000</v>
      </c>
      <c r="J121" s="71">
        <v>422129</v>
      </c>
    </row>
    <row r="122" spans="1:10" ht="13.5" customHeight="1">
      <c r="A122" s="381" t="s">
        <v>362</v>
      </c>
      <c r="B122" s="381"/>
      <c r="C122" s="381"/>
      <c r="D122" s="381"/>
      <c r="E122" s="381"/>
      <c r="F122" s="381"/>
      <c r="G122" s="19">
        <v>113</v>
      </c>
      <c r="H122" s="20"/>
      <c r="I122" s="71">
        <v>4849335</v>
      </c>
      <c r="J122" s="71">
        <v>4826205</v>
      </c>
    </row>
    <row r="123" spans="1:10" ht="13.5" customHeight="1">
      <c r="A123" s="381" t="s">
        <v>357</v>
      </c>
      <c r="B123" s="381"/>
      <c r="C123" s="381"/>
      <c r="D123" s="381"/>
      <c r="E123" s="381"/>
      <c r="F123" s="381"/>
      <c r="G123" s="19">
        <v>114</v>
      </c>
      <c r="H123" s="20"/>
      <c r="I123" s="71">
        <v>155553</v>
      </c>
      <c r="J123" s="71">
        <v>131352</v>
      </c>
    </row>
    <row r="124" spans="1:10" ht="13.5" customHeight="1">
      <c r="A124" s="381" t="s">
        <v>358</v>
      </c>
      <c r="B124" s="381"/>
      <c r="C124" s="381"/>
      <c r="D124" s="381"/>
      <c r="E124" s="381"/>
      <c r="F124" s="381"/>
      <c r="G124" s="19">
        <v>115</v>
      </c>
      <c r="H124" s="20"/>
      <c r="I124" s="71">
        <v>17366594</v>
      </c>
      <c r="J124" s="71">
        <v>43755810</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710896</v>
      </c>
      <c r="J126" s="71">
        <v>676032</v>
      </c>
    </row>
    <row r="127" spans="1:10" ht="13.5" customHeight="1">
      <c r="A127" s="381" t="s">
        <v>364</v>
      </c>
      <c r="B127" s="381"/>
      <c r="C127" s="381"/>
      <c r="D127" s="381"/>
      <c r="E127" s="381"/>
      <c r="F127" s="381"/>
      <c r="G127" s="19">
        <v>118</v>
      </c>
      <c r="H127" s="20"/>
      <c r="I127" s="71">
        <v>722626</v>
      </c>
      <c r="J127" s="71">
        <v>583029</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1281938</v>
      </c>
      <c r="J130" s="71">
        <v>1284717</v>
      </c>
    </row>
    <row r="131" spans="1:10" ht="24.75" customHeight="1">
      <c r="A131" s="383" t="s">
        <v>1560</v>
      </c>
      <c r="B131" s="383"/>
      <c r="C131" s="383"/>
      <c r="D131" s="383"/>
      <c r="E131" s="383"/>
      <c r="F131" s="383"/>
      <c r="G131" s="19">
        <v>122</v>
      </c>
      <c r="H131" s="20"/>
      <c r="I131" s="71">
        <v>307802183</v>
      </c>
      <c r="J131" s="71">
        <v>347418298</v>
      </c>
    </row>
    <row r="132" spans="1:10" ht="13.5" customHeight="1">
      <c r="A132" s="383" t="s">
        <v>2657</v>
      </c>
      <c r="B132" s="383"/>
      <c r="C132" s="383"/>
      <c r="D132" s="383"/>
      <c r="E132" s="383"/>
      <c r="F132" s="383"/>
      <c r="G132" s="19">
        <v>123</v>
      </c>
      <c r="H132" s="20"/>
      <c r="I132" s="70">
        <f>I76+I97+I104+I116+I131</f>
        <v>762397754</v>
      </c>
      <c r="J132" s="70">
        <f>J76+J97+J104+J116+J131</f>
        <v>843643282</v>
      </c>
    </row>
    <row r="133" spans="1:10" ht="13.5" customHeight="1">
      <c r="A133" s="384" t="s">
        <v>662</v>
      </c>
      <c r="B133" s="384"/>
      <c r="C133" s="384"/>
      <c r="D133" s="384"/>
      <c r="E133" s="384"/>
      <c r="F133" s="384"/>
      <c r="G133" s="21">
        <v>124</v>
      </c>
      <c r="H133" s="22"/>
      <c r="I133" s="72">
        <v>216467463</v>
      </c>
      <c r="J133" s="72">
        <v>236565275</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7" activePane="bottomLeft" state="frozen"/>
      <selection pane="topLeft" activeCell="J32" sqref="J32"/>
      <selection pane="bottomLeft" activeCell="I37" sqref="I3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64125437677; PONIKVE VODA d.o.o.Krk</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60020740</v>
      </c>
      <c r="J8" s="84">
        <f>SUM(J9:J13)</f>
        <v>55129702</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46409484</v>
      </c>
      <c r="J10" s="71">
        <v>41515679</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13611256</v>
      </c>
      <c r="J13" s="71">
        <v>13614023</v>
      </c>
    </row>
    <row r="14" spans="1:10" s="2" customFormat="1" ht="13.5" customHeight="1">
      <c r="A14" s="383" t="s">
        <v>1837</v>
      </c>
      <c r="B14" s="383"/>
      <c r="C14" s="383"/>
      <c r="D14" s="383"/>
      <c r="E14" s="383"/>
      <c r="F14" s="383"/>
      <c r="G14" s="19">
        <v>131</v>
      </c>
      <c r="H14" s="20"/>
      <c r="I14" s="70">
        <f>I15+I16+I20+I24+I25+I26+I29+I36</f>
        <v>59498528</v>
      </c>
      <c r="J14" s="70">
        <f>J15+J16+J20+J24+J25+J26+J29+J36</f>
        <v>55302262</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25526875</v>
      </c>
      <c r="J16" s="70">
        <f>SUM(J17:J19)</f>
        <v>22977682</v>
      </c>
    </row>
    <row r="17" spans="1:10" s="2" customFormat="1" ht="13.5" customHeight="1">
      <c r="A17" s="410" t="s">
        <v>504</v>
      </c>
      <c r="B17" s="410"/>
      <c r="C17" s="410"/>
      <c r="D17" s="410"/>
      <c r="E17" s="410"/>
      <c r="F17" s="410"/>
      <c r="G17" s="19">
        <v>134</v>
      </c>
      <c r="H17" s="20"/>
      <c r="I17" s="71">
        <v>9400687</v>
      </c>
      <c r="J17" s="71">
        <v>8359311</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16126188</v>
      </c>
      <c r="J19" s="71">
        <v>14618371</v>
      </c>
    </row>
    <row r="20" spans="1:10" s="2" customFormat="1" ht="13.5" customHeight="1">
      <c r="A20" s="381" t="s">
        <v>1839</v>
      </c>
      <c r="B20" s="381"/>
      <c r="C20" s="381"/>
      <c r="D20" s="381"/>
      <c r="E20" s="381"/>
      <c r="F20" s="381"/>
      <c r="G20" s="19">
        <v>137</v>
      </c>
      <c r="H20" s="20"/>
      <c r="I20" s="70">
        <f>SUM(I21:I23)</f>
        <v>11521936</v>
      </c>
      <c r="J20" s="70">
        <f>SUM(J21:J23)</f>
        <v>10716310</v>
      </c>
    </row>
    <row r="21" spans="1:10" s="2" customFormat="1" ht="13.5" customHeight="1">
      <c r="A21" s="410" t="s">
        <v>724</v>
      </c>
      <c r="B21" s="410"/>
      <c r="C21" s="410"/>
      <c r="D21" s="410"/>
      <c r="E21" s="410"/>
      <c r="F21" s="410"/>
      <c r="G21" s="19">
        <v>138</v>
      </c>
      <c r="H21" s="20"/>
      <c r="I21" s="71">
        <v>7430206</v>
      </c>
      <c r="J21" s="71">
        <v>7028111</v>
      </c>
    </row>
    <row r="22" spans="1:10" s="2" customFormat="1" ht="13.5" customHeight="1">
      <c r="A22" s="410" t="s">
        <v>961</v>
      </c>
      <c r="B22" s="410"/>
      <c r="C22" s="410"/>
      <c r="D22" s="410"/>
      <c r="E22" s="410"/>
      <c r="F22" s="410"/>
      <c r="G22" s="19">
        <v>139</v>
      </c>
      <c r="H22" s="20"/>
      <c r="I22" s="71">
        <v>2642799</v>
      </c>
      <c r="J22" s="71">
        <v>2357742</v>
      </c>
    </row>
    <row r="23" spans="1:10" s="2" customFormat="1" ht="13.5" customHeight="1">
      <c r="A23" s="410" t="s">
        <v>962</v>
      </c>
      <c r="B23" s="410"/>
      <c r="C23" s="410"/>
      <c r="D23" s="410"/>
      <c r="E23" s="410"/>
      <c r="F23" s="410"/>
      <c r="G23" s="19">
        <v>140</v>
      </c>
      <c r="H23" s="20"/>
      <c r="I23" s="71">
        <v>1448931</v>
      </c>
      <c r="J23" s="71">
        <v>1330457</v>
      </c>
    </row>
    <row r="24" spans="1:10" s="2" customFormat="1" ht="13.5" customHeight="1">
      <c r="A24" s="381" t="s">
        <v>259</v>
      </c>
      <c r="B24" s="381"/>
      <c r="C24" s="381"/>
      <c r="D24" s="381"/>
      <c r="E24" s="381"/>
      <c r="F24" s="381"/>
      <c r="G24" s="19">
        <v>141</v>
      </c>
      <c r="H24" s="20"/>
      <c r="I24" s="71">
        <v>19553474</v>
      </c>
      <c r="J24" s="71">
        <v>19801154</v>
      </c>
    </row>
    <row r="25" spans="1:10" s="2" customFormat="1" ht="13.5" customHeight="1">
      <c r="A25" s="381" t="s">
        <v>260</v>
      </c>
      <c r="B25" s="381"/>
      <c r="C25" s="381"/>
      <c r="D25" s="381"/>
      <c r="E25" s="381"/>
      <c r="F25" s="381"/>
      <c r="G25" s="19">
        <v>142</v>
      </c>
      <c r="H25" s="20"/>
      <c r="I25" s="71">
        <v>2083506</v>
      </c>
      <c r="J25" s="71">
        <v>1429204</v>
      </c>
    </row>
    <row r="26" spans="1:12" s="2" customFormat="1" ht="13.5" customHeight="1">
      <c r="A26" s="381" t="s">
        <v>1840</v>
      </c>
      <c r="B26" s="381"/>
      <c r="C26" s="381"/>
      <c r="D26" s="381"/>
      <c r="E26" s="381"/>
      <c r="F26" s="381"/>
      <c r="G26" s="19">
        <v>143</v>
      </c>
      <c r="H26" s="20"/>
      <c r="I26" s="70">
        <f>SUM(I27:I28)</f>
        <v>309024</v>
      </c>
      <c r="J26" s="70">
        <f>SUM(J27:J28)</f>
        <v>319962</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309024</v>
      </c>
      <c r="J28" s="71">
        <v>319962</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503713</v>
      </c>
      <c r="J36" s="71">
        <v>57950</v>
      </c>
    </row>
    <row r="37" spans="1:10" s="2" customFormat="1" ht="13.5" customHeight="1">
      <c r="A37" s="383" t="s">
        <v>1842</v>
      </c>
      <c r="B37" s="383"/>
      <c r="C37" s="383"/>
      <c r="D37" s="383"/>
      <c r="E37" s="383"/>
      <c r="F37" s="383"/>
      <c r="G37" s="19">
        <v>154</v>
      </c>
      <c r="H37" s="20"/>
      <c r="I37" s="70">
        <f>SUM(I38:I47)</f>
        <v>285825</v>
      </c>
      <c r="J37" s="70">
        <f>SUM(J38:J47)</f>
        <v>312407</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285467</v>
      </c>
      <c r="J44" s="71">
        <v>312398</v>
      </c>
    </row>
    <row r="45" spans="1:10" s="2" customFormat="1" ht="13.5" customHeight="1">
      <c r="A45" s="381" t="s">
        <v>1428</v>
      </c>
      <c r="B45" s="381"/>
      <c r="C45" s="381"/>
      <c r="D45" s="381"/>
      <c r="E45" s="381"/>
      <c r="F45" s="381"/>
      <c r="G45" s="19">
        <v>162</v>
      </c>
      <c r="H45" s="20"/>
      <c r="I45" s="71">
        <v>358</v>
      </c>
      <c r="J45" s="71">
        <v>9</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801275</v>
      </c>
      <c r="J48" s="70">
        <f>SUM(J49:J55)</f>
        <v>1389308</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744011</v>
      </c>
      <c r="J51" s="71">
        <v>1175127</v>
      </c>
    </row>
    <row r="52" spans="1:10" s="2" customFormat="1" ht="13.5" customHeight="1">
      <c r="A52" s="404" t="s">
        <v>1439</v>
      </c>
      <c r="B52" s="404"/>
      <c r="C52" s="404"/>
      <c r="D52" s="404"/>
      <c r="E52" s="404"/>
      <c r="F52" s="404"/>
      <c r="G52" s="19">
        <v>169</v>
      </c>
      <c r="H52" s="20"/>
      <c r="I52" s="71">
        <v>57264</v>
      </c>
      <c r="J52" s="71">
        <v>214181</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60306565</v>
      </c>
      <c r="J60" s="70">
        <f>J8+J37+J56+J57</f>
        <v>55442109</v>
      </c>
    </row>
    <row r="61" spans="1:10" s="2" customFormat="1" ht="13.5" customHeight="1">
      <c r="A61" s="383" t="s">
        <v>1845</v>
      </c>
      <c r="B61" s="383"/>
      <c r="C61" s="383"/>
      <c r="D61" s="383"/>
      <c r="E61" s="383"/>
      <c r="F61" s="383"/>
      <c r="G61" s="19">
        <v>178</v>
      </c>
      <c r="H61" s="20"/>
      <c r="I61" s="70">
        <f>I14+I48+I58+I59</f>
        <v>60299803</v>
      </c>
      <c r="J61" s="70">
        <f>J14+J48+J58+J59</f>
        <v>56691570</v>
      </c>
    </row>
    <row r="62" spans="1:12" s="2" customFormat="1" ht="13.5" customHeight="1">
      <c r="A62" s="383" t="s">
        <v>2581</v>
      </c>
      <c r="B62" s="383"/>
      <c r="C62" s="383"/>
      <c r="D62" s="383"/>
      <c r="E62" s="383"/>
      <c r="F62" s="383"/>
      <c r="G62" s="19">
        <v>179</v>
      </c>
      <c r="H62" s="20"/>
      <c r="I62" s="70">
        <f>I60-I61</f>
        <v>6762</v>
      </c>
      <c r="J62" s="70">
        <f>J60-J61</f>
        <v>-1249461</v>
      </c>
      <c r="L62" s="2" t="s">
        <v>2591</v>
      </c>
    </row>
    <row r="63" spans="1:10" s="2" customFormat="1" ht="13.5" customHeight="1">
      <c r="A63" s="404" t="s">
        <v>2658</v>
      </c>
      <c r="B63" s="404"/>
      <c r="C63" s="404"/>
      <c r="D63" s="404"/>
      <c r="E63" s="404"/>
      <c r="F63" s="404"/>
      <c r="G63" s="19">
        <v>180</v>
      </c>
      <c r="H63" s="20"/>
      <c r="I63" s="70">
        <f>IF(I60&gt;I61,I60-I61,0)</f>
        <v>6762</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1249461</v>
      </c>
    </row>
    <row r="65" spans="1:12" s="2" customFormat="1" ht="13.5" customHeight="1">
      <c r="A65" s="383" t="s">
        <v>2620</v>
      </c>
      <c r="B65" s="383"/>
      <c r="C65" s="383"/>
      <c r="D65" s="383"/>
      <c r="E65" s="383"/>
      <c r="F65" s="383"/>
      <c r="G65" s="19">
        <v>182</v>
      </c>
      <c r="H65" s="20"/>
      <c r="I65" s="71">
        <v>8474</v>
      </c>
      <c r="J65" s="71"/>
      <c r="L65" s="2" t="s">
        <v>2591</v>
      </c>
    </row>
    <row r="66" spans="1:12" s="2" customFormat="1" ht="13.5" customHeight="1">
      <c r="A66" s="383" t="s">
        <v>2582</v>
      </c>
      <c r="B66" s="383"/>
      <c r="C66" s="383"/>
      <c r="D66" s="383"/>
      <c r="E66" s="383"/>
      <c r="F66" s="383"/>
      <c r="G66" s="19">
        <v>183</v>
      </c>
      <c r="H66" s="20"/>
      <c r="I66" s="70">
        <f>I62-I65</f>
        <v>-1712</v>
      </c>
      <c r="J66" s="70">
        <f>J62-J65</f>
        <v>-1249461</v>
      </c>
      <c r="L66" s="2" t="s">
        <v>2591</v>
      </c>
    </row>
    <row r="67" spans="1:10" s="2" customFormat="1" ht="13.5" customHeight="1">
      <c r="A67" s="404" t="s">
        <v>779</v>
      </c>
      <c r="B67" s="404"/>
      <c r="C67" s="404"/>
      <c r="D67" s="404"/>
      <c r="E67" s="404"/>
      <c r="F67" s="404"/>
      <c r="G67" s="19">
        <v>184</v>
      </c>
      <c r="H67" s="20"/>
      <c r="I67" s="70">
        <f>IF(I66&gt;0,I66,0)</f>
        <v>0</v>
      </c>
      <c r="J67" s="70">
        <f>IF(J66&gt;0,J66,0)</f>
        <v>0</v>
      </c>
    </row>
    <row r="68" spans="1:10" s="2" customFormat="1" ht="13.5" customHeight="1">
      <c r="A68" s="421" t="s">
        <v>1472</v>
      </c>
      <c r="B68" s="421"/>
      <c r="C68" s="421"/>
      <c r="D68" s="421"/>
      <c r="E68" s="421"/>
      <c r="F68" s="421"/>
      <c r="G68" s="21">
        <v>185</v>
      </c>
      <c r="H68" s="22"/>
      <c r="I68" s="85">
        <f>IF(I66&lt;0,-I66,0)</f>
        <v>1712</v>
      </c>
      <c r="J68" s="85">
        <f>IF(J66&lt;0,-J66,0)</f>
        <v>1249461</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1" activePane="bottomLeft" state="frozen"/>
      <selection pane="topLeft" activeCell="J32" sqref="J32"/>
      <selection pane="bottomLeft" activeCell="J32" sqref="J3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64125437677; PONIKVE VODA d.o.o.Krk</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1.25">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46409484</v>
      </c>
      <c r="J25" s="94">
        <v>41515679</v>
      </c>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46409484</v>
      </c>
      <c r="J37" s="94">
        <v>41515679</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v>24958</v>
      </c>
      <c r="J43" s="77">
        <v>27764</v>
      </c>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3612676</v>
      </c>
      <c r="J50" s="77">
        <v>3115939</v>
      </c>
    </row>
    <row r="51" spans="1:10" s="2" customFormat="1" ht="24.75" customHeight="1">
      <c r="A51" s="404" t="s">
        <v>2219</v>
      </c>
      <c r="B51" s="404"/>
      <c r="C51" s="404"/>
      <c r="D51" s="404"/>
      <c r="E51" s="404"/>
      <c r="F51" s="404"/>
      <c r="G51" s="427"/>
      <c r="H51" s="19">
        <v>253</v>
      </c>
      <c r="I51" s="77">
        <v>1</v>
      </c>
      <c r="J51" s="77">
        <v>1</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v>3607</v>
      </c>
      <c r="J57" s="77">
        <v>1825</v>
      </c>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465298</v>
      </c>
      <c r="J60" s="77">
        <v>424190</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1</v>
      </c>
      <c r="J62" s="77">
        <v>1</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610153</v>
      </c>
      <c r="J65" s="77">
        <v>248585</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285825</v>
      </c>
      <c r="J73" s="94">
        <v>273983</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744011</v>
      </c>
      <c r="J76" s="78">
        <v>1175127</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9688696</v>
      </c>
      <c r="J78" s="228">
        <f>SUM(J79:J82)</f>
        <v>19388122</v>
      </c>
    </row>
    <row r="79" spans="1:10" s="2" customFormat="1" ht="13.5" customHeight="1">
      <c r="A79" s="404" t="s">
        <v>629</v>
      </c>
      <c r="B79" s="404"/>
      <c r="C79" s="404"/>
      <c r="D79" s="404"/>
      <c r="E79" s="404"/>
      <c r="F79" s="404"/>
      <c r="G79" s="427"/>
      <c r="H79" s="19">
        <v>279</v>
      </c>
      <c r="I79" s="77">
        <v>6595461</v>
      </c>
      <c r="J79" s="77">
        <v>17732042</v>
      </c>
    </row>
    <row r="80" spans="1:10" s="2" customFormat="1" ht="13.5" customHeight="1">
      <c r="A80" s="404" t="s">
        <v>630</v>
      </c>
      <c r="B80" s="404"/>
      <c r="C80" s="404"/>
      <c r="D80" s="404"/>
      <c r="E80" s="404"/>
      <c r="F80" s="404"/>
      <c r="G80" s="427"/>
      <c r="H80" s="19">
        <v>280</v>
      </c>
      <c r="I80" s="77">
        <v>2204711</v>
      </c>
      <c r="J80" s="77">
        <v>773115</v>
      </c>
    </row>
    <row r="81" spans="1:10" s="2" customFormat="1" ht="13.5" customHeight="1">
      <c r="A81" s="404" t="s">
        <v>1</v>
      </c>
      <c r="B81" s="404"/>
      <c r="C81" s="404"/>
      <c r="D81" s="404"/>
      <c r="E81" s="404"/>
      <c r="F81" s="404"/>
      <c r="G81" s="427"/>
      <c r="H81" s="19">
        <v>281</v>
      </c>
      <c r="I81" s="77">
        <v>880892</v>
      </c>
      <c r="J81" s="77">
        <v>882965</v>
      </c>
    </row>
    <row r="82" spans="1:10" s="2" customFormat="1" ht="36" customHeight="1">
      <c r="A82" s="404" t="s">
        <v>4</v>
      </c>
      <c r="B82" s="404"/>
      <c r="C82" s="404"/>
      <c r="D82" s="404"/>
      <c r="E82" s="404"/>
      <c r="F82" s="404"/>
      <c r="G82" s="427"/>
      <c r="H82" s="19">
        <v>282</v>
      </c>
      <c r="I82" s="77">
        <v>7632</v>
      </c>
      <c r="J82" s="77">
        <v>0</v>
      </c>
    </row>
    <row r="83" spans="1:10" s="2" customFormat="1" ht="13.5" customHeight="1">
      <c r="A83" s="404" t="s">
        <v>2</v>
      </c>
      <c r="B83" s="404"/>
      <c r="C83" s="404"/>
      <c r="D83" s="404"/>
      <c r="E83" s="404"/>
      <c r="F83" s="404"/>
      <c r="G83" s="427"/>
      <c r="H83" s="19">
        <v>283</v>
      </c>
      <c r="I83" s="77">
        <v>38522</v>
      </c>
      <c r="J83" s="77">
        <v>0</v>
      </c>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64125437677; PONIKVE VODA d.o.o.Krk</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14" activePane="bottomLeft" state="frozen"/>
      <selection pane="topLeft" activeCell="J32" sqref="J32"/>
      <selection pane="bottomLeft" activeCell="J32" sqref="J32"/>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43" t="s">
        <v>1455</v>
      </c>
      <c r="B2" s="444"/>
      <c r="C2" s="444"/>
      <c r="D2" s="444"/>
      <c r="E2" s="444"/>
      <c r="F2" s="444"/>
      <c r="G2" s="444"/>
      <c r="H2" s="444"/>
      <c r="I2" s="445"/>
      <c r="J2" s="385" t="s">
        <v>2595</v>
      </c>
      <c r="Q2" s="74">
        <f>IF(OR(MIN(I8:I52)&lt;0,MAX(I8:I52)&gt;0),1,0)</f>
        <v>1</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64125437677; PONIKVE VODA d.o.o.Krk</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v>69980295</v>
      </c>
      <c r="J9" s="94">
        <v>63155215</v>
      </c>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v>286436</v>
      </c>
      <c r="J11" s="77">
        <v>131238</v>
      </c>
    </row>
    <row r="12" spans="1:10" s="2" customFormat="1" ht="13.5" customHeight="1">
      <c r="A12" s="404" t="s">
        <v>2530</v>
      </c>
      <c r="B12" s="404"/>
      <c r="C12" s="404"/>
      <c r="D12" s="404"/>
      <c r="E12" s="404"/>
      <c r="F12" s="404"/>
      <c r="G12" s="19">
        <v>4</v>
      </c>
      <c r="H12" s="23"/>
      <c r="I12" s="77">
        <v>742853</v>
      </c>
      <c r="J12" s="77">
        <v>262889</v>
      </c>
    </row>
    <row r="13" spans="1:10" s="2" customFormat="1" ht="13.5" customHeight="1">
      <c r="A13" s="404" t="s">
        <v>1419</v>
      </c>
      <c r="B13" s="404"/>
      <c r="C13" s="404"/>
      <c r="D13" s="404"/>
      <c r="E13" s="404"/>
      <c r="F13" s="404"/>
      <c r="G13" s="19">
        <v>5</v>
      </c>
      <c r="H13" s="23"/>
      <c r="I13" s="77">
        <v>-28263044</v>
      </c>
      <c r="J13" s="77">
        <v>-24930910</v>
      </c>
    </row>
    <row r="14" spans="1:10" s="2" customFormat="1" ht="13.5" customHeight="1">
      <c r="A14" s="404" t="s">
        <v>1420</v>
      </c>
      <c r="B14" s="404"/>
      <c r="C14" s="404"/>
      <c r="D14" s="404"/>
      <c r="E14" s="404"/>
      <c r="F14" s="404"/>
      <c r="G14" s="19">
        <v>6</v>
      </c>
      <c r="H14" s="23"/>
      <c r="I14" s="77">
        <v>-12389633</v>
      </c>
      <c r="J14" s="77">
        <v>-11496273</v>
      </c>
    </row>
    <row r="15" spans="1:10" s="2" customFormat="1" ht="13.5" customHeight="1">
      <c r="A15" s="404" t="s">
        <v>1421</v>
      </c>
      <c r="B15" s="404"/>
      <c r="C15" s="404"/>
      <c r="D15" s="404"/>
      <c r="E15" s="404"/>
      <c r="F15" s="404"/>
      <c r="G15" s="19">
        <v>7</v>
      </c>
      <c r="H15" s="23"/>
      <c r="I15" s="77">
        <v>-445415</v>
      </c>
      <c r="J15" s="77">
        <v>-445415</v>
      </c>
    </row>
    <row r="16" spans="1:10" s="2" customFormat="1" ht="13.5" customHeight="1">
      <c r="A16" s="404" t="s">
        <v>1422</v>
      </c>
      <c r="B16" s="404"/>
      <c r="C16" s="404"/>
      <c r="D16" s="404"/>
      <c r="E16" s="404"/>
      <c r="F16" s="404"/>
      <c r="G16" s="19">
        <v>8</v>
      </c>
      <c r="H16" s="23"/>
      <c r="I16" s="77">
        <v>-12943227</v>
      </c>
      <c r="J16" s="77">
        <v>-11854340</v>
      </c>
    </row>
    <row r="17" spans="1:10" s="2" customFormat="1" ht="13.5" customHeight="1">
      <c r="A17" s="405" t="s">
        <v>2525</v>
      </c>
      <c r="B17" s="405"/>
      <c r="C17" s="405"/>
      <c r="D17" s="405"/>
      <c r="E17" s="405"/>
      <c r="F17" s="405"/>
      <c r="G17" s="19">
        <v>9</v>
      </c>
      <c r="H17" s="23"/>
      <c r="I17" s="86">
        <f>SUM(I9:I16)</f>
        <v>16968265</v>
      </c>
      <c r="J17" s="86">
        <f>SUM(J9:J16)</f>
        <v>14822404</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v>-101527</v>
      </c>
      <c r="J19" s="77">
        <v>-54047</v>
      </c>
    </row>
    <row r="20" spans="1:10" s="2" customFormat="1" ht="15" customHeight="1">
      <c r="A20" s="455" t="s">
        <v>10</v>
      </c>
      <c r="B20" s="455"/>
      <c r="C20" s="455"/>
      <c r="D20" s="455"/>
      <c r="E20" s="455"/>
      <c r="F20" s="455"/>
      <c r="G20" s="21">
        <v>12</v>
      </c>
      <c r="H20" s="24"/>
      <c r="I20" s="87">
        <f>SUM(I17:I19)</f>
        <v>16866738</v>
      </c>
      <c r="J20" s="87">
        <f>SUM(J17:J19)</f>
        <v>14768357</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v>44428191</v>
      </c>
      <c r="J27" s="77">
        <v>45744186</v>
      </c>
    </row>
    <row r="28" spans="1:10" s="2" customFormat="1" ht="15" customHeight="1">
      <c r="A28" s="405" t="s">
        <v>2118</v>
      </c>
      <c r="B28" s="405"/>
      <c r="C28" s="405"/>
      <c r="D28" s="405"/>
      <c r="E28" s="405"/>
      <c r="F28" s="405"/>
      <c r="G28" s="19">
        <v>19</v>
      </c>
      <c r="H28" s="23"/>
      <c r="I28" s="86">
        <f>SUM(I22:I27)</f>
        <v>44428191</v>
      </c>
      <c r="J28" s="86">
        <f>SUM(J22:J27)</f>
        <v>45744186</v>
      </c>
    </row>
    <row r="29" spans="1:10" s="2" customFormat="1" ht="15" customHeight="1">
      <c r="A29" s="404" t="s">
        <v>442</v>
      </c>
      <c r="B29" s="404"/>
      <c r="C29" s="404"/>
      <c r="D29" s="404"/>
      <c r="E29" s="404"/>
      <c r="F29" s="404"/>
      <c r="G29" s="19">
        <v>20</v>
      </c>
      <c r="H29" s="23"/>
      <c r="I29" s="77">
        <v>-82021361</v>
      </c>
      <c r="J29" s="77">
        <v>-69550727</v>
      </c>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-82021361</v>
      </c>
      <c r="J34" s="86">
        <f>SUM(J29:J33)</f>
        <v>-69550727</v>
      </c>
    </row>
    <row r="35" spans="1:10" s="2" customFormat="1" ht="15" customHeight="1">
      <c r="A35" s="455" t="s">
        <v>11</v>
      </c>
      <c r="B35" s="455"/>
      <c r="C35" s="455"/>
      <c r="D35" s="455"/>
      <c r="E35" s="455"/>
      <c r="F35" s="455"/>
      <c r="G35" s="21">
        <v>26</v>
      </c>
      <c r="H35" s="24"/>
      <c r="I35" s="87">
        <f>I28+I34</f>
        <v>-37593170</v>
      </c>
      <c r="J35" s="87">
        <f>J28+J34</f>
        <v>-23806541</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v>24437393</v>
      </c>
      <c r="J39" s="77">
        <v>19233677</v>
      </c>
    </row>
    <row r="40" spans="1:10" s="2" customFormat="1" ht="13.5" customHeight="1">
      <c r="A40" s="381" t="s">
        <v>450</v>
      </c>
      <c r="B40" s="381"/>
      <c r="C40" s="381"/>
      <c r="D40" s="381"/>
      <c r="E40" s="381"/>
      <c r="F40" s="381"/>
      <c r="G40" s="19">
        <v>30</v>
      </c>
      <c r="H40" s="23"/>
      <c r="I40" s="77">
        <v>882527</v>
      </c>
      <c r="J40" s="77">
        <v>1141247</v>
      </c>
    </row>
    <row r="41" spans="1:10" s="2" customFormat="1" ht="15" customHeight="1">
      <c r="A41" s="405" t="s">
        <v>451</v>
      </c>
      <c r="B41" s="405"/>
      <c r="C41" s="405"/>
      <c r="D41" s="405"/>
      <c r="E41" s="405"/>
      <c r="F41" s="405"/>
      <c r="G41" s="19">
        <v>31</v>
      </c>
      <c r="H41" s="23"/>
      <c r="I41" s="86">
        <f>SUM(I37:I40)</f>
        <v>25319920</v>
      </c>
      <c r="J41" s="86">
        <f>SUM(J37:J40)</f>
        <v>20374924</v>
      </c>
    </row>
    <row r="42" spans="1:10" s="2" customFormat="1" ht="25.5" customHeight="1">
      <c r="A42" s="381" t="s">
        <v>452</v>
      </c>
      <c r="B42" s="381"/>
      <c r="C42" s="381"/>
      <c r="D42" s="381"/>
      <c r="E42" s="381"/>
      <c r="F42" s="381"/>
      <c r="G42" s="19">
        <v>32</v>
      </c>
      <c r="H42" s="23"/>
      <c r="I42" s="77">
        <v>-8677321</v>
      </c>
      <c r="J42" s="77">
        <v>-3972333</v>
      </c>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v>0</v>
      </c>
      <c r="J45" s="77"/>
    </row>
    <row r="46" spans="1:10" s="2" customFormat="1" ht="13.5" customHeight="1">
      <c r="A46" s="381" t="s">
        <v>455</v>
      </c>
      <c r="B46" s="381"/>
      <c r="C46" s="381"/>
      <c r="D46" s="381"/>
      <c r="E46" s="381"/>
      <c r="F46" s="381"/>
      <c r="G46" s="19">
        <v>36</v>
      </c>
      <c r="H46" s="23"/>
      <c r="I46" s="77">
        <v>-934399</v>
      </c>
      <c r="J46" s="77">
        <v>-1366127</v>
      </c>
    </row>
    <row r="47" spans="1:10" s="2" customFormat="1" ht="15" customHeight="1">
      <c r="A47" s="405" t="s">
        <v>1835</v>
      </c>
      <c r="B47" s="405"/>
      <c r="C47" s="405"/>
      <c r="D47" s="405"/>
      <c r="E47" s="405"/>
      <c r="F47" s="405"/>
      <c r="G47" s="19">
        <v>37</v>
      </c>
      <c r="H47" s="23"/>
      <c r="I47" s="86">
        <f>SUM(I42:I46)</f>
        <v>-9611720</v>
      </c>
      <c r="J47" s="86">
        <f>SUM(J42:J46)</f>
        <v>-5338460</v>
      </c>
    </row>
    <row r="48" spans="1:10" s="2" customFormat="1" ht="15" customHeight="1">
      <c r="A48" s="409" t="s">
        <v>12</v>
      </c>
      <c r="B48" s="409"/>
      <c r="C48" s="409"/>
      <c r="D48" s="409"/>
      <c r="E48" s="409"/>
      <c r="F48" s="409"/>
      <c r="G48" s="19">
        <v>38</v>
      </c>
      <c r="H48" s="23"/>
      <c r="I48" s="86">
        <f>I41+I47</f>
        <v>15708200</v>
      </c>
      <c r="J48" s="86">
        <f>J41+J47</f>
        <v>15036464</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-5018232</v>
      </c>
      <c r="J50" s="86">
        <f>J20+J35+J48+J49</f>
        <v>5998280</v>
      </c>
    </row>
    <row r="51" spans="1:10" s="2" customFormat="1" ht="13.5" customHeight="1">
      <c r="A51" s="409" t="s">
        <v>2429</v>
      </c>
      <c r="B51" s="409"/>
      <c r="C51" s="409"/>
      <c r="D51" s="409"/>
      <c r="E51" s="409"/>
      <c r="F51" s="409"/>
      <c r="G51" s="19">
        <v>41</v>
      </c>
      <c r="H51" s="23"/>
      <c r="I51" s="77">
        <v>16348001</v>
      </c>
      <c r="J51" s="77">
        <v>11329769</v>
      </c>
    </row>
    <row r="52" spans="1:10" s="2" customFormat="1" ht="13.5" customHeight="1">
      <c r="A52" s="455" t="s">
        <v>13</v>
      </c>
      <c r="B52" s="455"/>
      <c r="C52" s="455"/>
      <c r="D52" s="455"/>
      <c r="E52" s="455"/>
      <c r="F52" s="455"/>
      <c r="G52" s="21">
        <v>42</v>
      </c>
      <c r="H52" s="24"/>
      <c r="I52" s="87">
        <f>I50+I51</f>
        <v>11329769</v>
      </c>
      <c r="J52" s="87">
        <f>J50+J51</f>
        <v>17328049</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6" activePane="bottomLeft" state="frozen"/>
      <selection pane="topLeft" activeCell="J32" sqref="J32"/>
      <selection pane="bottomLeft" activeCell="J32" sqref="J32"/>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64125437677; PONIKVE VODA d.o.o.Krk</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1"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322395200</v>
      </c>
      <c r="J10" s="25">
        <v>54812670</v>
      </c>
      <c r="K10" s="25"/>
      <c r="L10" s="25"/>
      <c r="M10" s="25"/>
      <c r="N10" s="25"/>
      <c r="O10" s="25">
        <v>859</v>
      </c>
      <c r="P10" s="25"/>
      <c r="Q10" s="25"/>
      <c r="R10" s="25"/>
      <c r="S10" s="25"/>
      <c r="T10" s="25">
        <v>4384643</v>
      </c>
      <c r="U10" s="25">
        <v>-1712</v>
      </c>
      <c r="V10" s="207">
        <f>SUM(I10:L10)-M10+SUM(N10:U10)</f>
        <v>381591660</v>
      </c>
      <c r="W10" s="25"/>
      <c r="X10" s="207">
        <f>W10+V10</f>
        <v>381591660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322395200</v>
      </c>
      <c r="J13" s="207">
        <f aca="true" t="shared" si="2" ref="J13:U13">SUM(J10:J12)</f>
        <v>54812670</v>
      </c>
      <c r="K13" s="207">
        <f t="shared" si="2"/>
        <v>0</v>
      </c>
      <c r="L13" s="207">
        <f t="shared" si="2"/>
        <v>0</v>
      </c>
      <c r="M13" s="207">
        <f t="shared" si="2"/>
        <v>0</v>
      </c>
      <c r="N13" s="207">
        <f t="shared" si="2"/>
        <v>0</v>
      </c>
      <c r="O13" s="207">
        <f t="shared" si="2"/>
        <v>859</v>
      </c>
      <c r="P13" s="207">
        <f t="shared" si="2"/>
        <v>0</v>
      </c>
      <c r="Q13" s="207">
        <f t="shared" si="2"/>
        <v>0</v>
      </c>
      <c r="R13" s="207">
        <f t="shared" si="2"/>
        <v>0</v>
      </c>
      <c r="S13" s="207">
        <f t="shared" si="2"/>
        <v>0</v>
      </c>
      <c r="T13" s="207">
        <f t="shared" si="2"/>
        <v>4384643</v>
      </c>
      <c r="U13" s="207">
        <f t="shared" si="2"/>
        <v>-1712</v>
      </c>
      <c r="V13" s="207">
        <f t="shared" si="0"/>
        <v>381591660</v>
      </c>
      <c r="W13" s="207">
        <f>SUM(W10:W12)</f>
        <v>0</v>
      </c>
      <c r="X13" s="207">
        <f t="shared" si="1"/>
        <v>381591660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v>1255425</v>
      </c>
      <c r="K22" s="25"/>
      <c r="L22" s="25"/>
      <c r="M22" s="25"/>
      <c r="N22" s="25"/>
      <c r="O22" s="25"/>
      <c r="P22" s="25"/>
      <c r="Q22" s="25"/>
      <c r="R22" s="25"/>
      <c r="S22" s="25"/>
      <c r="T22" s="25"/>
      <c r="U22" s="25"/>
      <c r="V22" s="207">
        <f t="shared" si="0"/>
        <v>1255425</v>
      </c>
      <c r="W22" s="25"/>
      <c r="X22" s="207">
        <f t="shared" si="1"/>
        <v>1255425</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322395200</v>
      </c>
      <c r="J32" s="206">
        <f aca="true" t="shared" si="3" ref="J32:U32">SUM(J13:J31)</f>
        <v>56068095</v>
      </c>
      <c r="K32" s="206">
        <f t="shared" si="3"/>
        <v>0</v>
      </c>
      <c r="L32" s="206">
        <f t="shared" si="3"/>
        <v>0</v>
      </c>
      <c r="M32" s="206">
        <f t="shared" si="3"/>
        <v>0</v>
      </c>
      <c r="N32" s="206">
        <f t="shared" si="3"/>
        <v>0</v>
      </c>
      <c r="O32" s="206">
        <f t="shared" si="3"/>
        <v>859</v>
      </c>
      <c r="P32" s="206">
        <f t="shared" si="3"/>
        <v>0</v>
      </c>
      <c r="Q32" s="206">
        <f t="shared" si="3"/>
        <v>0</v>
      </c>
      <c r="R32" s="206">
        <f t="shared" si="3"/>
        <v>0</v>
      </c>
      <c r="S32" s="206">
        <f t="shared" si="3"/>
        <v>0</v>
      </c>
      <c r="T32" s="206">
        <f t="shared" si="3"/>
        <v>4384643</v>
      </c>
      <c r="U32" s="206">
        <f t="shared" si="3"/>
        <v>-1712</v>
      </c>
      <c r="V32" s="206">
        <f t="shared" si="0"/>
        <v>382847085</v>
      </c>
      <c r="W32" s="206">
        <f>SUM(W13:W31)</f>
        <v>0</v>
      </c>
      <c r="X32" s="206">
        <f t="shared" si="1"/>
        <v>382847085</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1255425</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1255425</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322395200</v>
      </c>
      <c r="J38" s="25">
        <v>56068095</v>
      </c>
      <c r="K38" s="25"/>
      <c r="L38" s="25"/>
      <c r="M38" s="25"/>
      <c r="N38" s="25"/>
      <c r="O38" s="25">
        <v>859</v>
      </c>
      <c r="P38" s="25"/>
      <c r="Q38" s="25"/>
      <c r="R38" s="25"/>
      <c r="S38" s="25"/>
      <c r="T38" s="25">
        <v>4384643</v>
      </c>
      <c r="U38" s="25">
        <v>-1712</v>
      </c>
      <c r="V38" s="207">
        <f aca="true" t="shared" si="10" ref="V38:V60">SUM(I38:L38)-M38+SUM(N38:U38)</f>
        <v>382847085</v>
      </c>
      <c r="W38" s="25"/>
      <c r="X38" s="207">
        <f t="shared" si="1"/>
        <v>382847085</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322395200</v>
      </c>
      <c r="J41" s="207">
        <f t="shared" si="11"/>
        <v>56068095</v>
      </c>
      <c r="K41" s="207">
        <f t="shared" si="11"/>
        <v>0</v>
      </c>
      <c r="L41" s="207">
        <f t="shared" si="11"/>
        <v>0</v>
      </c>
      <c r="M41" s="207">
        <f t="shared" si="11"/>
        <v>0</v>
      </c>
      <c r="N41" s="207">
        <f t="shared" si="11"/>
        <v>0</v>
      </c>
      <c r="O41" s="207">
        <f t="shared" si="11"/>
        <v>859</v>
      </c>
      <c r="P41" s="207">
        <f t="shared" si="11"/>
        <v>0</v>
      </c>
      <c r="Q41" s="207">
        <f t="shared" si="11"/>
        <v>0</v>
      </c>
      <c r="R41" s="207">
        <f t="shared" si="11"/>
        <v>0</v>
      </c>
      <c r="S41" s="207">
        <f t="shared" si="11"/>
        <v>0</v>
      </c>
      <c r="T41" s="207">
        <f t="shared" si="11"/>
        <v>4384643</v>
      </c>
      <c r="U41" s="207">
        <f t="shared" si="11"/>
        <v>-1712</v>
      </c>
      <c r="V41" s="207">
        <f t="shared" si="10"/>
        <v>382847085</v>
      </c>
      <c r="W41" s="207">
        <f>SUM(W38:W40)</f>
        <v>0</v>
      </c>
      <c r="X41" s="207">
        <f>W41+V41</f>
        <v>382847085</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-1249461</v>
      </c>
      <c r="V42" s="207">
        <f t="shared" si="10"/>
        <v>-1249461</v>
      </c>
      <c r="W42" s="25"/>
      <c r="X42" s="207">
        <f t="shared" si="1"/>
        <v>-1249461</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v>845257</v>
      </c>
      <c r="K50" s="25"/>
      <c r="L50" s="25"/>
      <c r="M50" s="25"/>
      <c r="N50" s="25"/>
      <c r="O50" s="25"/>
      <c r="P50" s="25"/>
      <c r="Q50" s="25"/>
      <c r="R50" s="25"/>
      <c r="S50" s="25"/>
      <c r="T50" s="25"/>
      <c r="U50" s="25"/>
      <c r="V50" s="207">
        <f t="shared" si="10"/>
        <v>845257</v>
      </c>
      <c r="W50" s="25"/>
      <c r="X50" s="207">
        <f t="shared" si="1"/>
        <v>845257</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v>-1712</v>
      </c>
      <c r="U57" s="25">
        <v>1712</v>
      </c>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322395200</v>
      </c>
      <c r="J60" s="206">
        <f t="shared" si="12"/>
        <v>56913352</v>
      </c>
      <c r="K60" s="206">
        <f t="shared" si="12"/>
        <v>0</v>
      </c>
      <c r="L60" s="206">
        <f t="shared" si="12"/>
        <v>0</v>
      </c>
      <c r="M60" s="206">
        <f t="shared" si="12"/>
        <v>0</v>
      </c>
      <c r="N60" s="206">
        <f t="shared" si="12"/>
        <v>0</v>
      </c>
      <c r="O60" s="206">
        <f t="shared" si="12"/>
        <v>859</v>
      </c>
      <c r="P60" s="206">
        <f t="shared" si="12"/>
        <v>0</v>
      </c>
      <c r="Q60" s="206">
        <f t="shared" si="12"/>
        <v>0</v>
      </c>
      <c r="R60" s="206">
        <f t="shared" si="12"/>
        <v>0</v>
      </c>
      <c r="S60" s="206">
        <f t="shared" si="12"/>
        <v>0</v>
      </c>
      <c r="T60" s="206">
        <f t="shared" si="12"/>
        <v>4382931</v>
      </c>
      <c r="U60" s="206">
        <f t="shared" si="12"/>
        <v>-1249461</v>
      </c>
      <c r="V60" s="206">
        <f t="shared" si="10"/>
        <v>382442881</v>
      </c>
      <c r="W60" s="206">
        <f>SUM(W41:W59)</f>
        <v>0</v>
      </c>
      <c r="X60" s="206">
        <f t="shared" si="1"/>
        <v>382442881</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845257</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845257</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Zvjezdana Ponoš</cp:lastModifiedBy>
  <cp:lastPrinted>2021-05-28T06:17:46Z</cp:lastPrinted>
  <dcterms:created xsi:type="dcterms:W3CDTF">2008-10-17T11:51:54Z</dcterms:created>
  <dcterms:modified xsi:type="dcterms:W3CDTF">2021-06-11T08:26:41Z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