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335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<sst xmlns="http://schemas.openxmlformats.org/spreadsheetml/2006/main" count="3788" uniqueCount="2994">
  <si>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</si>
  <si>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</si>
  <si>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</si>
  <si>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</si>
  <si>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</si>
  <si>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</si>
  <si>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</si>
  <si>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</si>
  <si>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</si>
  <si>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</si>
  <si>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</si>
  <si>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</si>
  <si>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</si>
  <si>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</si>
  <si>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</si>
  <si>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</si>
  <si>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</si>
  <si>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</si>
  <si>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</si>
  <si>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</si>
  <si>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</si>
  <si>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</si>
  <si>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</si>
  <si>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</si>
  <si>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</si>
  <si>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</si>
  <si>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</si>
  <si>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</si>
  <si>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</si>
  <si>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</si>
  <si>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</si>
  <si>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</si>
  <si>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</si>
  <si>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</si>
  <si>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</si>
  <si>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</si>
  <si>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</si>
  <si>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</si>
  <si>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</si>
  <si>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</si>
  <si>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</si>
  <si>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</si>
  <si>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</si>
  <si>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</si>
  <si>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</si>
  <si>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</si>
  <si>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</si>
  <si>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</si>
  <si>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</si>
  <si>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</si>
  <si>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</si>
  <si>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</si>
  <si>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</si>
  <si>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</si>
  <si>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</si>
  <si>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</si>
  <si>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</si>
  <si>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</si>
  <si>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</si>
  <si>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</si>
  <si>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</si>
  <si>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</si>
  <si>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</si>
  <si>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</si>
  <si>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</si>
  <si>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</si>
  <si>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</si>
  <si>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</si>
  <si>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</si>
  <si>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</si>
  <si>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</si>
  <si>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</si>
  <si>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</si>
  <si>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</si>
  <si>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</si>
  <si>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</si>
  <si>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</si>
  <si>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</si>
  <si>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</si>
  <si>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</si>
  <si>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</si>
  <si>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</si>
  <si>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</si>
  <si>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</si>
  <si>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</si>
  <si>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</si>
  <si>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</si>
  <si>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</si>
  <si>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</si>
  <si>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</si>
  <si>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</si>
  <si>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</si>
  <si>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</si>
  <si>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</si>
  <si>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</si>
  <si>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</si>
  <si>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</si>
  <si>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</si>
  <si>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</si>
  <si>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</si>
  <si>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</si>
  <si>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</si>
  <si>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</si>
  <si>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</si>
  <si>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</si>
  <si>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</si>
  <si>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</si>
  <si>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</si>
  <si>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</si>
  <si>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</si>
  <si>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</si>
  <si>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</si>
  <si>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</si>
  <si>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</si>
  <si>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</si>
  <si>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</si>
  <si>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</si>
  <si>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</si>
  <si>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</si>
  <si>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</si>
  <si>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</si>
  <si>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</si>
  <si>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</si>
  <si>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</si>
  <si>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</si>
  <si>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</si>
  <si>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</si>
  <si>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</si>
  <si>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</si>
  <si>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</si>
  <si>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</si>
  <si>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</si>
  <si>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</si>
  <si>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</si>
  <si>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</si>
  <si>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</si>
  <si>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</si>
  <si>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</si>
  <si>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</si>
  <si>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</si>
  <si>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</si>
  <si>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</si>
  <si>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</si>
  <si>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</si>
  <si>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</si>
  <si>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</si>
  <si>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</si>
  <si>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</si>
  <si>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</si>
  <si>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</si>
  <si>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</si>
  <si>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</si>
  <si>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</si>
  <si>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</si>
  <si>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</si>
  <si>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</si>
  <si>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</si>
  <si>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</si>
  <si>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</si>
  <si>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</si>
  <si>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</si>
  <si>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</si>
  <si>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</si>
  <si>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</si>
  <si>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</si>
  <si>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</si>
  <si>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</si>
  <si>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</si>
  <si>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</si>
  <si>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</si>
  <si>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</si>
  <si>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</si>
  <si>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</si>
  <si>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</si>
  <si>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</si>
  <si>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</si>
  <si>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</si>
  <si>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</si>
  <si>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</si>
  <si>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</si>
  <si>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</si>
  <si>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</si>
  <si>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</si>
  <si>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</si>
  <si>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</si>
  <si>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</si>
  <si>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</si>
  <si>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</si>
  <si>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</si>
  <si>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</si>
  <si>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</si>
  <si>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</si>
  <si>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</si>
  <si>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</si>
  <si>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</si>
  <si>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</si>
  <si>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</si>
  <si>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</si>
  <si>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</si>
  <si>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</si>
  <si>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</si>
  <si>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</si>
  <si>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</si>
  <si>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</si>
  <si>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</si>
  <si>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</si>
  <si>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</si>
  <si>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</si>
  <si>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</si>
  <si>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</si>
  <si>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</si>
  <si>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</si>
  <si>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</si>
  <si>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</si>
  <si>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</si>
  <si>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</si>
  <si>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</si>
  <si>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</si>
  <si>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</si>
  <si>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</si>
  <si>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</si>
  <si>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</si>
  <si>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</si>
  <si>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</si>
  <si>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</si>
  <si>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</si>
  <si>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</si>
  <si>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</si>
  <si>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</si>
  <si>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</si>
  <si>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</si>
  <si>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</si>
  <si>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</si>
  <si>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</si>
  <si>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</si>
  <si>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</si>
  <si>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</si>
  <si>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</si>
  <si>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</si>
  <si>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</si>
  <si>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</si>
  <si>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</si>
  <si>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</si>
  <si>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</si>
  <si>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</si>
  <si>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</si>
  <si>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</si>
  <si>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</si>
  <si>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</si>
  <si>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</si>
  <si>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</si>
  <si>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</si>
  <si>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</si>
  <si>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</si>
  <si>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</si>
  <si>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</si>
  <si>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</si>
  <si>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</si>
  <si>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</si>
  <si>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</si>
  <si>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</si>
  <si>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</si>
  <si>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</si>
  <si>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</si>
  <si>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</si>
  <si>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</si>
  <si>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</si>
  <si>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</si>
  <si>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</si>
  <si>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</si>
  <si>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</si>
  <si>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</si>
  <si>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</si>
  <si>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</si>
  <si>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</si>
  <si>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</si>
  <si>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</si>
  <si>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</si>
  <si>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</si>
  <si>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</si>
  <si>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</si>
  <si>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</si>
  <si>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</si>
  <si>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</si>
  <si>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</si>
  <si>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</si>
  <si>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</si>
  <si>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</si>
  <si>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</si>
  <si>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</si>
  <si>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</si>
  <si>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</si>
  <si>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</si>
  <si>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</si>
  <si>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</si>
  <si>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</si>
  <si>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</si>
  <si>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</si>
  <si>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</si>
  <si>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</si>
  <si>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</si>
  <si>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</si>
  <si>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</si>
  <si>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</si>
  <si>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</si>
  <si>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</si>
  <si>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</si>
  <si>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</si>
  <si>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</si>
  <si>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</si>
  <si>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</si>
  <si>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</si>
  <si>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</si>
  <si>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</si>
  <si>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</si>
  <si>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</si>
  <si>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</si>
  <si>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</si>
  <si>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</si>
  <si>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</si>
  <si>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</si>
  <si>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</si>
  <si>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</si>
  <si>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</si>
  <si>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</si>
  <si>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</si>
  <si>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</si>
  <si>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</si>
  <si>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</si>
  <si>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</si>
  <si>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</si>
  <si>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</si>
  <si>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</si>
  <si>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</si>
  <si>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</si>
  <si>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</si>
  <si>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</si>
  <si>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</si>
  <si>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</si>
  <si>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</si>
  <si>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</si>
  <si>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</si>
  <si>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</si>
  <si>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</si>
  <si>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</si>
  <si>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</si>
  <si>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</si>
  <si>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</si>
  <si>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</si>
  <si>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</si>
  <si>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</si>
  <si>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</si>
  <si>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</si>
  <si>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</si>
  <si>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</si>
  <si>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</si>
  <si>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</si>
  <si>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</si>
  <si>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</si>
  <si>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</si>
  <si>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</si>
  <si>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</si>
  <si>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</si>
  <si>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</si>
  <si>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</si>
  <si>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</si>
  <si>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</si>
  <si>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</si>
  <si>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</si>
  <si>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</si>
  <si>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</si>
  <si>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</si>
  <si>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</si>
  <si>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</si>
  <si>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</si>
  <si>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</si>
  <si>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</si>
  <si>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</si>
  <si>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</si>
  <si>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</si>
  <si>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</si>
  <si>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</si>
  <si>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</si>
  <si>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</si>
  <si>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</si>
  <si>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</si>
  <si>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</si>
  <si>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</si>
  <si>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</si>
  <si>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</si>
  <si>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</si>
  <si>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</si>
  <si>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</si>
  <si>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</si>
  <si>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</si>
  <si>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</si>
  <si>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</si>
  <si>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</si>
  <si>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</si>
  <si>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</si>
  <si>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</si>
  <si>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</si>
  <si>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</si>
  <si>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</si>
  <si>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</si>
  <si>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</si>
  <si>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</si>
  <si>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</si>
  <si>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</si>
  <si>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</si>
  <si>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</si>
  <si>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</si>
  <si>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</si>
  <si>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</si>
  <si>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</si>
  <si>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</si>
  <si>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</si>
  <si>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</si>
  <si>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</si>
  <si>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</si>
  <si>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</si>
  <si>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</si>
  <si>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</si>
  <si>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</si>
  <si>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</si>
  <si>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</si>
  <si>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</si>
  <si>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</si>
  <si>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</si>
  <si>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</si>
  <si>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</si>
  <si>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</si>
  <si>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</si>
  <si>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</si>
  <si>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</si>
  <si>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</si>
  <si>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</si>
  <si>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</si>
  <si>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</si>
  <si>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</si>
  <si>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</si>
  <si>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</si>
  <si>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</si>
  <si>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</si>
  <si>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</si>
  <si>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</si>
  <si>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</si>
  <si>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</si>
  <si>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</si>
  <si>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</si>
  <si>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</si>
  <si>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</si>
  <si>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</si>
  <si>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</si>
  <si>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</si>
  <si>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</si>
  <si>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</si>
  <si>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</si>
  <si>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</si>
  <si>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</si>
  <si>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</si>
  <si>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</si>
  <si>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</si>
  <si>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</si>
  <si>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</si>
  <si>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</si>
  <si>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</si>
  <si>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</si>
  <si>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</si>
  <si>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</si>
  <si>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</si>
  <si>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</si>
  <si>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</si>
  <si>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</si>
  <si>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</si>
  <si>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</si>
  <si>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</si>
  <si>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</si>
  <si>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</si>
  <si>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</si>
  <si>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</si>
  <si>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</si>
  <si>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</si>
  <si>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</si>
  <si>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</si>
  <si>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</si>
  <si>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</si>
  <si>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</si>
  <si>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</si>
  <si>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</si>
  <si>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</si>
  <si>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</si>
  <si>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</si>
  <si>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</si>
  <si>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</si>
  <si>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</si>
  <si>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</si>
  <si>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</si>
  <si>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</si>
  <si>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</si>
  <si>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</si>
  <si>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</si>
  <si>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</si>
  <si>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</si>
  <si>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</si>
  <si>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</si>
  <si>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</si>
  <si>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</si>
  <si>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</si>
  <si>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</si>
  <si>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</si>
  <si>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</si>
  <si>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</si>
  <si>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</si>
  <si>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</si>
  <si>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</si>
  <si>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</si>
  <si>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</si>
  <si>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</si>
  <si>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</si>
  <si>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</si>
  <si>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</si>
  <si>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</si>
  <si>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</si>
  <si>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</si>
  <si>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</si>
  <si>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</si>
  <si>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</si>
  <si>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</si>
  <si>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</si>
  <si>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</si>
  <si>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</si>
  <si>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</si>
  <si>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</si>
  <si>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</si>
  <si>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</si>
  <si>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</si>
  <si>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</si>
  <si>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</si>
  <si>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</si>
  <si>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</si>
  <si>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</si>
  <si>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</si>
  <si>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</si>
  <si>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</si>
  <si>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</si>
  <si>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</si>
  <si>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</si>
  <si>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</si>
  <si>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</si>
  <si>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</si>
  <si>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</si>
  <si>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</si>
  <si>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</si>
  <si>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</si>
  <si>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</si>
  <si>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</si>
  <si>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</si>
  <si>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</si>
  <si>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</si>
  <si>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</si>
  <si>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</si>
  <si>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</si>
  <si>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</si>
  <si>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</si>
  <si>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</si>
  <si>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</si>
  <si>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</si>
  <si>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</si>
  <si>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</si>
  <si>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</si>
  <si>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</si>
  <si>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</si>
  <si>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</si>
  <si>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</si>
  <si>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</si>
  <si>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</si>
  <si>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</si>
  <si>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</si>
  <si>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</si>
  <si>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</si>
  <si>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</si>
  <si>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</si>
  <si>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</si>
  <si>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</si>
  <si>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</si>
  <si>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</si>
  <si>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</si>
  <si>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</si>
  <si>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</si>
  <si>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</si>
  <si>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</si>
  <si>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</si>
  <si>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</si>
  <si>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</si>
  <si>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</si>
  <si>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</si>
  <si>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</si>
  <si>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</si>
  <si>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</si>
  <si>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</si>
  <si>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</si>
  <si>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</si>
  <si>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</si>
  <si>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</si>
  <si>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</si>
  <si>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</si>
  <si>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</si>
  <si>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</si>
  <si>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</si>
  <si>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</si>
  <si>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</si>
  <si>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</si>
  <si>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</si>
  <si>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</si>
  <si>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</si>
  <si>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</si>
  <si>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</si>
  <si>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</si>
  <si>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</si>
  <si>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</si>
  <si>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</si>
  <si>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</si>
  <si>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</si>
  <si>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</si>
  <si>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</si>
  <si>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</si>
  <si>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</si>
  <si>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</si>
  <si>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</si>
  <si>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</si>
  <si>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</si>
  <si>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</si>
  <si>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</si>
  <si>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</si>
  <si>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</si>
  <si>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</si>
  <si>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</si>
  <si>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</si>
  <si>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</si>
  <si>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</si>
  <si>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</si>
  <si>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</si>
  <si>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</si>
  <si>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</si>
  <si>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</si>
  <si>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</si>
  <si>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</si>
  <si>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</si>
  <si>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</si>
  <si>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</si>
  <si>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</si>
  <si>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</si>
  <si>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</si>
  <si>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</si>
  <si>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</si>
  <si>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</si>
  <si>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</si>
  <si>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</si>
  <si>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</si>
  <si>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</si>
  <si>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</si>
  <si>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</si>
  <si>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</si>
  <si>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</si>
  <si>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</si>
  <si>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</si>
  <si>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</si>
  <si>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</si>
  <si>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</si>
  <si>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</si>
  <si>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</si>
  <si>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</si>
  <si>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</si>
  <si>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</si>
  <si>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</si>
  <si>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</si>
  <si>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</si>
  <si>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</si>
  <si>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</si>
  <si>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</si>
  <si>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</si>
  <si>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</si>
  <si>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</si>
  <si>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</si>
  <si>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</si>
  <si>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</si>
  <si>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</si>
  <si>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</si>
  <si>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</si>
  <si>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</si>
  <si>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</si>
  <si>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</si>
  <si>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</si>
  <si>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</si>
  <si>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</si>
  <si>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</si>
  <si>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</si>
  <si>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</si>
  <si>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</si>
  <si>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</si>
  <si>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</si>
  <si>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</si>
  <si>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</si>
  <si>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</si>
  <si>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</si>
  <si>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</si>
  <si>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</si>
  <si>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</si>
  <si>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</si>
  <si>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</si>
  <si>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</si>
  <si>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</si>
  <si>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</si>
  <si>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</si>
  <si>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</si>
  <si>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</si>
  <si>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</si>
  <si>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</si>
  <si>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</si>
  <si>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</si>
  <si>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</si>
  <si>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</si>
  <si>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</si>
  <si>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</si>
  <si>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</si>
  <si>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</si>
  <si>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</si>
  <si>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</si>
  <si>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</si>
  <si>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</si>
  <si>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</si>
  <si>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</si>
  <si>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</si>
  <si>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</si>
  <si>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</si>
  <si>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</si>
  <si>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</si>
  <si>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</si>
  <si>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</si>
  <si>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</si>
  <si>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</si>
  <si>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</si>
  <si>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</si>
  <si>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</si>
  <si>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</si>
  <si>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</si>
  <si>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</si>
  <si>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</si>
  <si>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</si>
  <si>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</si>
  <si>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</si>
  <si>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</si>
  <si>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</si>
  <si>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</si>
  <si>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</si>
  <si>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</si>
  <si>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</si>
  <si>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</si>
  <si>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</si>
  <si>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</si>
  <si>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</si>
  <si>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</si>
  <si>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</si>
  <si>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</si>
  <si>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</si>
  <si>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</si>
  <si>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</si>
  <si>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</si>
  <si>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</si>
  <si>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</si>
  <si>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</si>
  <si>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</si>
  <si>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</si>
  <si>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</si>
  <si>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</si>
  <si>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</si>
  <si>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</si>
  <si>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</si>
  <si>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</si>
  <si>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</si>
  <si>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</si>
  <si>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</si>
  <si>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</si>
  <si>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</si>
  <si>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</si>
  <si>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</si>
  <si>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</si>
  <si>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</si>
  <si>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</si>
  <si>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</si>
  <si>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</si>
  <si>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</si>
  <si>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</si>
  <si>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</si>
  <si>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</si>
  <si>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</si>
  <si>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</si>
  <si>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</si>
  <si>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</si>
  <si>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</si>
  <si>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</si>
  <si>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</si>
  <si>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</si>
  <si>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</si>
  <si>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</si>
  <si>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</si>
  <si>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</si>
  <si>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</si>
  <si>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</si>
  <si>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</si>
  <si>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</si>
  <si>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</si>
  <si>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</si>
  <si>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</si>
  <si>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</si>
  <si>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</si>
  <si>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</si>
  <si>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</si>
  <si>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</si>
  <si>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</si>
  <si>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</si>
  <si>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</si>
  <si>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</si>
  <si>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</si>
  <si>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</si>
  <si>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</si>
  <si>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</si>
  <si>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</si>
  <si>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</si>
  <si>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</si>
  <si>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</si>
  <si>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</si>
  <si>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</si>
  <si>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</si>
  <si>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</si>
  <si>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</si>
  <si>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</si>
  <si>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</si>
  <si>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</si>
  <si>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</si>
  <si>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</si>
  <si>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</si>
  <si>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</si>
  <si>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</si>
  <si>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</si>
  <si>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</si>
  <si>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</si>
  <si>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</si>
  <si>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</si>
  <si>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</si>
  <si>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</si>
  <si>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</si>
  <si>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</si>
  <si>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</si>
  <si>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</si>
  <si>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</si>
  <si>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</si>
  <si>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</si>
  <si>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</si>
  <si>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</si>
  <si>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</si>
  <si>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</si>
  <si>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</si>
  <si>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</si>
  <si>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</si>
  <si>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</si>
  <si>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</si>
  <si>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</si>
  <si>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</si>
  <si>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</si>
  <si>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</si>
  <si>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</si>
  <si>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</si>
  <si>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</si>
  <si>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</si>
  <si>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</si>
  <si>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</si>
  <si>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</si>
  <si>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</si>
  <si>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</si>
  <si>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</si>
  <si>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</si>
  <si>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</si>
  <si>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</si>
  <si>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</si>
  <si>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</si>
  <si>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</si>
  <si>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</si>
  <si>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</si>
  <si>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</si>
  <si>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</si>
  <si>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</si>
  <si>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</si>
  <si>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</si>
  <si>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</si>
  <si>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</si>
  <si>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</si>
  <si>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</si>
  <si>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</si>
  <si>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</si>
  <si>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</si>
  <si>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</si>
  <si>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</si>
  <si>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</si>
  <si>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</si>
  <si>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</si>
  <si>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</si>
  <si>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</si>
  <si>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</si>
  <si>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</si>
  <si>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</si>
  <si>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</si>
  <si>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</si>
  <si>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</si>
  <si>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</si>
  <si>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</si>
  <si>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</si>
  <si>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</si>
  <si>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</si>
  <si>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</si>
  <si>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</si>
  <si>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</si>
  <si>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</si>
  <si>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</si>
  <si>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</si>
  <si>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</si>
  <si>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</si>
  <si>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</si>
  <si>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</si>
  <si>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</si>
  <si>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</si>
  <si>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</si>
  <si>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</si>
  <si>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</si>
  <si>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</si>
  <si>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</si>
  <si>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</si>
  <si>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</si>
  <si>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</si>
  <si>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</si>
  <si>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</si>
  <si>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</si>
  <si>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</si>
  <si>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</si>
  <si>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</si>
  <si>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</si>
  <si>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</si>
  <si>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</si>
  <si>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</si>
  <si>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</si>
  <si>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</si>
  <si>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</si>
  <si>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</si>
  <si>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</si>
  <si>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</si>
  <si>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</si>
  <si>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</si>
  <si>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</si>
  <si>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</si>
  <si>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</si>
  <si>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</si>
  <si>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</si>
  <si>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</si>
  <si>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</si>
  <si>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</si>
  <si>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</si>
  <si>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</si>
  <si>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</si>
  <si>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</si>
  <si>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</si>
  <si>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</si>
  <si>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</si>
  <si>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</si>
  <si>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</si>
  <si>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</si>
  <si>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</si>
  <si>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</si>
  <si>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</si>
  <si>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</si>
  <si>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</si>
  <si>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</si>
  <si>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</si>
  <si>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</si>
  <si>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</si>
  <si>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</si>
  <si>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</si>
  <si>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</si>
  <si>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</si>
  <si>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</si>
  <si>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</si>
  <si>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</si>
  <si>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</si>
  <si>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</si>
  <si>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</si>
  <si>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</si>
  <si>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</si>
  <si>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</si>
  <si>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</si>
  <si>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</si>
  <si>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</si>
  <si>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</si>
  <si>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</si>
  <si>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</si>
  <si>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</si>
  <si>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</si>
  <si>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</si>
  <si>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</si>
  <si>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</si>
  <si>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</si>
  <si>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</si>
  <si>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</si>
  <si>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</si>
  <si>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</si>
  <si>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</si>
  <si>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</si>
  <si>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</si>
  <si>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</si>
  <si>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</si>
  <si>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</si>
  <si>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</si>
  <si>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</si>
  <si>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</si>
  <si>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</si>
  <si>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</si>
  <si>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</si>
  <si>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</si>
  <si>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</si>
  <si>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</si>
  <si>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</si>
  <si>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</si>
  <si>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</si>
  <si>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</si>
  <si>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</si>
  <si>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</si>
  <si>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</si>
  <si>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</si>
  <si>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</si>
  <si>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</si>
  <si>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</si>
  <si>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</si>
  <si>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</si>
  <si>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</si>
  <si>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</si>
  <si>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</si>
  <si>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</si>
  <si>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</si>
  <si>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</si>
  <si>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</si>
  <si>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</si>
  <si>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</si>
  <si>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</si>
  <si>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</si>
  <si>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</si>
  <si>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</si>
  <si>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</si>
  <si>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</si>
  <si>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</si>
  <si>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</si>
  <si>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</si>
  <si>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</si>
  <si>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</si>
  <si>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</si>
  <si>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</si>
  <si>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</si>
  <si>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</si>
  <si>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</si>
  <si>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</si>
  <si>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</si>
  <si>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</si>
  <si>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</si>
  <si>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</si>
  <si>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</si>
  <si>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</si>
  <si>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</si>
  <si>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</si>
  <si>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</si>
  <si>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</si>
  <si>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</si>
  <si>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</si>
  <si>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</si>
  <si>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</si>
  <si>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</si>
  <si>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</si>
  <si>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</si>
  <si>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</si>
  <si>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</si>
  <si>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</si>
  <si>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</si>
  <si>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</si>
  <si>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</si>
  <si>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</si>
  <si>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</si>
  <si>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</si>
  <si>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</si>
  <si>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</si>
  <si>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</si>
  <si>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</si>
  <si>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</si>
  <si>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</si>
  <si>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</si>
  <si>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</si>
  <si>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</si>
  <si>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</si>
  <si>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</si>
  <si>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</si>
  <si>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</si>
  <si>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</si>
  <si>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</si>
  <si>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</si>
  <si>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</si>
  <si>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</si>
  <si>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</si>
  <si>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</si>
  <si>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</si>
  <si>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</si>
  <si>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</si>
  <si>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</si>
  <si>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</si>
  <si>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</si>
  <si>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</si>
  <si>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</si>
  <si>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</si>
  <si>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</si>
  <si>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</si>
  <si>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</si>
  <si>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</si>
  <si>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</si>
  <si>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</si>
  <si>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</si>
  <si>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</si>
  <si>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</si>
  <si>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</si>
  <si>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</si>
  <si>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</si>
  <si>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</si>
  <si>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</si>
  <si>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</si>
  <si>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</si>
  <si>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</si>
  <si>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</si>
  <si>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</si>
  <si>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</si>
  <si>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</si>
  <si>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</si>
  <si>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</si>
  <si>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</si>
  <si>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</si>
  <si>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</si>
  <si>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</si>
  <si>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</si>
  <si>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</si>
  <si>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</si>
  <si>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</si>
  <si>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</si>
  <si>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</si>
  <si>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</si>
  <si>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</si>
  <si>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</si>
  <si>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</si>
  <si>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</si>
  <si>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</si>
  <si>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</si>
  <si>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</si>
  <si>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</si>
  <si>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</si>
  <si>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</si>
  <si>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</si>
  <si>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</si>
  <si>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</si>
  <si>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</si>
  <si>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</si>
  <si>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</si>
  <si>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</si>
  <si>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</si>
  <si>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</si>
  <si>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</si>
  <si>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</si>
  <si>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</si>
  <si>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</si>
  <si>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</si>
  <si>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</si>
  <si>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</si>
  <si>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</si>
  <si>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</si>
  <si>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</si>
  <si>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</si>
  <si>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</si>
  <si>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</si>
  <si>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</si>
  <si>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</si>
  <si>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</si>
  <si>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</si>
  <si>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</si>
  <si>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</si>
  <si>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</si>
  <si>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</si>
  <si>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</si>
  <si>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</si>
  <si>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</si>
  <si>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</si>
  <si>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</si>
  <si>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</si>
  <si>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</si>
  <si>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</si>
  <si>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</si>
  <si>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</si>
  <si>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</si>
  <si>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</si>
  <si>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</si>
  <si>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</si>
  <si>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</si>
  <si>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</si>
  <si>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</si>
  <si>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</si>
  <si>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</si>
  <si>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</si>
  <si>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</si>
  <si>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</si>
  <si>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</si>
  <si>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</si>
  <si>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</si>
  <si>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</si>
  <si>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</si>
  <si>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</si>
  <si>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</si>
  <si>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</si>
  <si>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</si>
  <si>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</si>
  <si>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</si>
  <si>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</si>
  <si>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</si>
  <si>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</si>
  <si>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</si>
  <si>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</si>
  <si>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</si>
  <si>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</si>
  <si>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</si>
  <si>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</si>
  <si>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</si>
  <si>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</si>
  <si>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</si>
  <si>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</si>
  <si>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</si>
  <si>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</si>
  <si>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</si>
  <si>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</si>
  <si>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</si>
  <si>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</si>
  <si>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</si>
  <si>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</si>
  <si>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</si>
  <si>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</si>
  <si>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</si>
  <si>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</si>
  <si>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</si>
  <si>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</si>
  <si>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</si>
  <si>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</si>
  <si>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</si>
  <si>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</si>
  <si>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</si>
  <si>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</si>
  <si>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</si>
  <si>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</si>
  <si>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</si>
  <si>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</si>
  <si>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</si>
  <si>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</si>
  <si>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</si>
  <si>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</si>
  <si>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</si>
  <si>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</si>
  <si>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</si>
  <si>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</si>
  <si>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</si>
  <si>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</si>
  <si>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</si>
  <si>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</si>
  <si>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</si>
  <si>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</si>
  <si>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</si>
  <si>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</si>
  <si>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</si>
  <si>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</si>
  <si>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</si>
  <si>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</si>
  <si>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</si>
  <si>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</si>
  <si>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</si>
  <si>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</si>
  <si>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</si>
  <si>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</si>
  <si>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</si>
  <si>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</si>
  <si>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</si>
  <si>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</si>
  <si>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</si>
  <si>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</si>
  <si>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</si>
  <si>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</si>
  <si>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</si>
  <si>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</si>
  <si>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</si>
  <si>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</si>
  <si>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</si>
  <si>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</si>
  <si>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</si>
  <si>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</si>
  <si>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</si>
  <si>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</si>
  <si>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</si>
  <si>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</si>
  <si>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</si>
  <si>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</si>
  <si>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</si>
  <si>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</si>
  <si>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</si>
  <si>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</si>
  <si>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</si>
  <si>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</si>
  <si>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</si>
  <si>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</si>
  <si>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</si>
  <si>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</si>
  <si>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</si>
  <si>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</si>
  <si>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</si>
  <si>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</si>
  <si>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</si>
  <si>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</si>
  <si>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</si>
  <si>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</si>
  <si>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</si>
  <si>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</si>
  <si>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</si>
  <si>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</si>
  <si>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</si>
  <si>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</si>
  <si>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</si>
  <si>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</si>
  <si>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</si>
  <si>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</si>
  <si>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</si>
  <si>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</si>
  <si>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</si>
  <si>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</si>
  <si>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</si>
  <si>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</si>
  <si>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</si>
  <si>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</si>
  <si>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</si>
  <si>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</si>
  <si>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</si>
  <si>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</si>
  <si>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</si>
  <si>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</si>
  <si>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</si>
  <si>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</si>
  <si>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</si>
  <si>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</si>
  <si>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</si>
  <si>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</si>
  <si>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</si>
  <si>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</si>
  <si>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</si>
  <si>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</si>
  <si>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</si>
  <si>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</si>
  <si>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</si>
  <si>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</si>
  <si>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</si>
  <si>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</si>
  <si>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</si>
  <si>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</si>
  <si>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</si>
  <si>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</si>
  <si>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</si>
  <si>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</si>
  <si>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</si>
  <si>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</si>
  <si>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</si>
  <si>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</si>
  <si>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</si>
  <si>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</si>
  <si>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</si>
  <si>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</si>
  <si>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</si>
  <si>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</si>
  <si>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</si>
  <si>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</si>
  <si>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</si>
  <si>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</si>
  <si>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</si>
  <si>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</si>
  <si>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</si>
  <si>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</si>
  <si>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</si>
  <si>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</si>
  <si>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</si>
  <si>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</si>
  <si>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</si>
  <si>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</si>
  <si>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</si>
  <si>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</si>
  <si>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</si>
  <si>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</si>
  <si>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</si>
  <si>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</si>
  <si>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</si>
  <si>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</si>
  <si>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</si>
  <si>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</si>
  <si>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</si>
  <si>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</si>
  <si>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</si>
  <si>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</si>
  <si>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</si>
  <si>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</si>
  <si>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</si>
  <si>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</si>
  <si>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</si>
  <si>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</si>
  <si>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</si>
  <si>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</si>
  <si>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</si>
  <si>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</si>
  <si>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</si>
  <si>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</si>
  <si>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</si>
  <si>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</si>
  <si>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</si>
  <si>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</si>
  <si>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</si>
  <si>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</si>
  <si>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</si>
  <si>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</si>
  <si>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</si>
  <si>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</si>
  <si>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</si>
  <si>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</si>
  <si>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</si>
  <si>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</si>
  <si>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</si>
  <si>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</si>
  <si>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</si>
  <si>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</si>
  <si>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</si>
  <si>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</si>
  <si>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</si>
  <si>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</si>
  <si>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</si>
  <si>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</si>
  <si>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</si>
  <si>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</si>
  <si>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</si>
  <si>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</si>
  <si>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</si>
  <si>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</si>
  <si>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</si>
  <si>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</si>
  <si>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</si>
  <si>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</si>
  <si>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</si>
  <si>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</si>
  <si>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</si>
  <si>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</si>
  <si>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</si>
  <si>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</si>
  <si>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</si>
  <si>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</si>
  <si>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</si>
  <si>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</si>
  <si>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</si>
  <si>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</si>
  <si>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</si>
  <si>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</si>
  <si>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</si>
  <si>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</si>
  <si>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</si>
  <si>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</si>
  <si>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</si>
  <si>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</si>
  <si>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</si>
  <si>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</si>
  <si>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</si>
  <si>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</si>
  <si>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</si>
  <si>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</si>
  <si>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</si>
  <si>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</si>
  <si>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</si>
  <si>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</si>
  <si>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</si>
  <si>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</si>
  <si>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</si>
  <si>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</si>
  <si>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</si>
  <si>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</si>
  <si>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</si>
  <si>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</si>
  <si>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</si>
  <si>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</si>
  <si>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</si>
  <si>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</si>
  <si>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</si>
  <si>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</si>
  <si>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</si>
  <si>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</si>
  <si>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</si>
  <si>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</si>
  <si>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</si>
  <si>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</si>
  <si>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</si>
  <si>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</si>
  <si>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</si>
  <si>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</si>
  <si>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</si>
  <si>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</si>
  <si>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</si>
  <si>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</si>
  <si>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</si>
  <si>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</si>
  <si>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</si>
  <si>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</si>
  <si>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</si>
  <si>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</si>
  <si>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</si>
  <si>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</si>
  <si>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</si>
  <si>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</si>
  <si>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</si>
  <si>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</si>
  <si>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</si>
  <si>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</si>
  <si>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</si>
  <si>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</si>
  <si>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</si>
  <si>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</si>
  <si>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</si>
  <si>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</si>
  <si>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</si>
  <si>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</si>
  <si>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</si>
  <si>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</si>
  <si>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</si>
  <si>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</si>
  <si>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</si>
  <si>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</si>
  <si>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</si>
  <si>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</si>
  <si>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</si>
  <si>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</si>
  <si>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</si>
  <si>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</si>
  <si>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</si>
  <si>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</si>
  <si>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</si>
  <si>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</si>
  <si>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</si>
  <si>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</si>
  <si>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</si>
  <si>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</si>
  <si>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</si>
  <si>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</si>
  <si>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</si>
  <si>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</si>
  <si>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</si>
  <si>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</si>
  <si>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</si>
  <si>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</si>
  <si>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</si>
  <si>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</si>
  <si>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</si>
  <si>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</si>
  <si>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</si>
  <si>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</si>
  <si>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</si>
  <si>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</si>
  <si>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</si>
  <si>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</si>
  <si>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</si>
  <si>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</si>
  <si>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</si>
  <si>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</si>
  <si>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</si>
  <si>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</si>
  <si>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</si>
  <si>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</si>
  <si>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</si>
  <si>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</si>
  <si>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</si>
  <si>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</si>
  <si>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</si>
  <si>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</si>
  <si>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</si>
  <si>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</si>
  <si>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</si>
  <si>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</si>
  <si>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</si>
  <si>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</si>
  <si>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</si>
  <si>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</si>
  <si>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</si>
  <si>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</si>
  <si>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</si>
  <si>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</si>
  <si>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</si>
  <si>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</si>
  <si>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</si>
  <si>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</si>
  <si>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</si>
  <si>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</si>
  <si>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</si>
  <si>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</si>
  <si>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</si>
  <si>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</si>
  <si>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</si>
  <si>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</si>
  <si>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</si>
  <si>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</si>
  <si>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</si>
  <si>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</si>
  <si>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</si>
  <si>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</si>
  <si>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</si>
  <si>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</si>
  <si>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</si>
  <si>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</si>
  <si>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</si>
  <si>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</si>
  <si>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</si>
  <si>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</si>
  <si>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</si>
  <si>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</si>
  <si>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</si>
  <si>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</si>
  <si>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</si>
  <si>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</si>
  <si>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</si>
  <si>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</si>
  <si>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</si>
  <si>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</si>
  <si>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</si>
  <si>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</si>
  <si>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</si>
  <si>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</si>
  <si>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</si>
  <si>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</si>
  <si>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</si>
  <si>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</si>
  <si>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</si>
  <si>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</si>
  <si>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</si>
  <si>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</si>
  <si>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</si>
  <si>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</si>
  <si>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</si>
  <si>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</si>
  <si>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</si>
  <si>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</si>
  <si>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</si>
  <si>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</si>
  <si>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</si>
  <si>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</si>
  <si>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</si>
  <si>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</si>
  <si>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</si>
  <si>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</si>
  <si>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</si>
  <si>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</si>
  <si>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</si>
  <si>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</si>
  <si>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</si>
  <si>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</si>
  <si>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</si>
  <si>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</si>
  <si>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</si>
  <si>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</si>
  <si>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</si>
  <si>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</si>
  <si>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</si>
  <si>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</si>
  <si>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</si>
  <si>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</si>
  <si>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</si>
  <si>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</si>
  <si>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</si>
  <si>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</si>
  <si>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</si>
  <si>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</si>
  <si>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</si>
  <si>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</si>
  <si>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</si>
  <si>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</si>
  <si>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</si>
  <si>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</si>
  <si>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</si>
  <si>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</si>
  <si>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</si>
  <si>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</si>
  <si>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</si>
  <si>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</si>
  <si>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</si>
  <si>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</si>
  <si>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</si>
  <si>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</si>
  <si>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</si>
  <si>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</si>
  <si>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</si>
  <si>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</si>
  <si>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</si>
  <si>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</si>
  <si>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</si>
  <si>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</si>
  <si>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</si>
  <si>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</si>
  <si>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</si>
  <si>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</si>
  <si>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</si>
  <si>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</si>
  <si>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</si>
  <si>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</si>
  <si>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</si>
  <si>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</si>
  <si>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</si>
  <si>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</si>
  <si>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</si>
  <si>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</si>
  <si>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</si>
  <si>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</si>
  <si>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</si>
  <si>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</si>
  <si>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</si>
  <si>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</si>
  <si>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</si>
  <si>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</si>
  <si>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</si>
  <si>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</si>
  <si>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</si>
  <si>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</si>
  <si>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</si>
  <si>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</si>
  <si>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</si>
  <si>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</si>
  <si>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</si>
  <si>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</si>
  <si>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</si>
  <si>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</si>
  <si>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</si>
  <si>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</si>
  <si>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</si>
  <si>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</si>
  <si>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</si>
  <si>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</si>
  <si>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</si>
  <si>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</si>
  <si>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</si>
  <si>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</si>
  <si>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</si>
  <si>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</si>
  <si>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</si>
  <si>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</si>
  <si>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</si>
  <si>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</si>
  <si>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</si>
  <si>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</si>
  <si>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</si>
  <si>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</si>
  <si>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</si>
  <si>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</si>
  <si>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</si>
  <si>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</si>
  <si>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</si>
  <si>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</si>
  <si>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</si>
  <si>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</si>
  <si>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</si>
  <si>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</si>
  <si>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</si>
  <si>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</si>
  <si>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</si>
  <si>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</si>
  <si>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</si>
  <si>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</si>
  <si>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</si>
  <si>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</si>
  <si>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</si>
  <si>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</si>
  <si>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</si>
  <si>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</si>
  <si>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</si>
  <si>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</si>
  <si>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</si>
  <si>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</si>
  <si>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</si>
  <si>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</si>
  <si>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</si>
  <si>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</si>
  <si>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</si>
  <si>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</si>
  <si>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</si>
  <si>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</si>
  <si>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</si>
  <si>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</si>
  <si>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</si>
  <si>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</si>
  <si>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</si>
  <si>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</si>
  <si>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</si>
  <si>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</si>
  <si>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</si>
  <si>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</si>
  <si>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</si>
  <si>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</si>
  <si>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</si>
  <si>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</si>
  <si>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</si>
  <si>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</si>
  <si>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</si>
  <si>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</si>
  <si>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</si>
  <si>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</si>
  <si>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</si>
  <si>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</si>
  <si>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</si>
  <si>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</si>
  <si>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</si>
  <si>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</si>
  <si>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</si>
  <si>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</si>
  <si>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</si>
  <si>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</si>
  <si>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</si>
  <si>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</si>
  <si>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</si>
  <si>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</si>
  <si>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</si>
  <si>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</si>
  <si>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</si>
  <si>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</si>
  <si>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</si>
  <si>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</si>
  <si>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</si>
  <si>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</si>
  <si>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</si>
  <si>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</si>
  <si>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</si>
  <si>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</si>
  <si>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</si>
  <si>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</si>
  <si>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</si>
  <si>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</si>
  <si>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</si>
  <si>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</si>
  <si>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</si>
  <si>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</si>
  <si>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</si>
  <si>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</si>
  <si>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</si>
  <si>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</si>
  <si>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</si>
  <si>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</si>
  <si>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</si>
  <si>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</si>
  <si>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</si>
  <si>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</si>
  <si>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</si>
  <si>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</si>
  <si>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</si>
  <si>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</si>
  <si>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</si>
  <si>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</si>
  <si>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</si>
  <si>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</si>
  <si>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</si>
  <si>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</si>
  <si>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</si>
  <si>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</si>
  <si>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</si>
  <si>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</si>
  <si>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</si>
  <si>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</si>
  <si>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</si>
  <si>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</si>
  <si>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</si>
  <si>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</si>
  <si>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</si>
  <si>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</si>
  <si>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</si>
  <si>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</si>
  <si>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</si>
  <si>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</si>
  <si>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</si>
  <si>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</si>
  <si>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</si>
  <si>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</si>
  <si>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</si>
  <si>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</si>
  <si>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</si>
  <si>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</si>
  <si>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</si>
  <si>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</si>
  <si>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</si>
  <si>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</si>
  <si>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</si>
  <si>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</si>
  <si>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</si>
  <si>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</si>
  <si>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</si>
  <si>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</si>
  <si>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</si>
  <si>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</si>
  <si>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</si>
  <si>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</si>
  <si>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</si>
  <si>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</si>
  <si>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</si>
  <si>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</si>
  <si>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</si>
  <si>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</si>
  <si>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</si>
  <si>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</si>
  <si>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</si>
  <si>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</si>
  <si>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</si>
  <si>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</si>
  <si>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</si>
  <si>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</si>
  <si>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</si>
  <si>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</si>
  <si>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</si>
  <si>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</si>
  <si>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</si>
  <si>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</si>
  <si>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</si>
  <si>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</si>
  <si>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</si>
  <si>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</si>
  <si>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</si>
  <si>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</si>
  <si>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</si>
  <si>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</si>
  <si>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</si>
  <si>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</si>
  <si>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</si>
  <si>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</si>
  <si>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</si>
  <si>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</si>
  <si>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</si>
  <si>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</si>
  <si>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</si>
  <si>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</si>
  <si>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</si>
  <si>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</si>
  <si>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</si>
  <si>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</si>
  <si>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</si>
  <si>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</si>
  <si>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</si>
  <si>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</si>
  <si>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</si>
  <si>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</si>
  <si>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</si>
  <si>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</si>
  <si>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</si>
  <si>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</si>
  <si>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</si>
  <si>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</si>
  <si>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</si>
  <si>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</si>
  <si>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</si>
  <si>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</si>
  <si>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</si>
  <si>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</si>
  <si>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</si>
  <si>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</si>
  <si>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</si>
  <si>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</si>
  <si>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</si>
  <si>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</si>
  <si>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</si>
  <si>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</si>
  <si>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</si>
  <si>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</si>
  <si>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</si>
  <si>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</si>
  <si>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</si>
  <si>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</si>
  <si>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</si>
  <si>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</si>
  <si>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</si>
  <si>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</si>
  <si>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</si>
  <si>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</si>
  <si>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</si>
  <si>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</si>
  <si>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</si>
  <si>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</si>
  <si>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</si>
  <si>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</si>
  <si>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</si>
  <si>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</si>
  <si>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</si>
  <si>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</si>
  <si>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</si>
  <si>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</si>
  <si>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</si>
  <si>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</si>
  <si>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</si>
  <si>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</si>
  <si>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</si>
  <si>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</si>
  <si>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</si>
  <si>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</si>
  <si>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</si>
  <si>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</si>
  <si>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</si>
  <si>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</si>
  <si>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</si>
  <si>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</si>
  <si>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</si>
  <si>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</si>
  <si>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</si>
  <si>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</si>
  <si>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</si>
  <si>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</si>
  <si>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</si>
  <si>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</si>
  <si>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</si>
  <si>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</si>
  <si>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</si>
  <si>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</si>
  <si>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</si>
  <si>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</si>
  <si>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</si>
  <si>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</si>
  <si>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</si>
  <si>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</si>
  <si>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</si>
  <si>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</si>
  <si>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</si>
  <si>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</si>
  <si>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</si>
  <si>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</si>
  <si>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</si>
  <si>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</si>
  <si>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</si>
  <si>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</si>
  <si>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</si>
  <si>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</si>
  <si>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</si>
  <si>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</si>
  <si>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</si>
  <si>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</si>
  <si>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</si>
  <si>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</si>
  <si>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</si>
  <si>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</si>
  <si>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</si>
  <si>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</si>
  <si>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</si>
  <si>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</si>
  <si>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</si>
  <si>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</si>
  <si>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</si>
  <si>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</si>
  <si>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</si>
  <si>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</si>
  <si>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</si>
  <si>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</si>
  <si>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</si>
  <si>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</si>
  <si>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</si>
  <si>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</si>
  <si>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</si>
  <si>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</si>
  <si>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</si>
  <si>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</si>
  <si>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</si>
  <si>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</si>
  <si>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</si>
  <si>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</si>
  <si>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</si>
  <si>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</si>
  <si>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</si>
  <si>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</si>
  <si>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</si>
  <si>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</si>
  <si>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</si>
  <si>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</si>
  <si>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</si>
  <si>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</si>
  <si>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</si>
  <si>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</si>
  <si>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</si>
  <si>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</si>
  <si>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</si>
  <si>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</si>
  <si>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</si>
  <si>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</si>
  <si>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</si>
  <si>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</si>
  <si>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</si>
  <si>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</si>
  <si>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</si>
  <si>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</si>
  <si>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</si>
  <si>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</si>
  <si>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</si>
  <si>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</si>
  <si>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</si>
  <si>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</si>
  <si>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</si>
  <si>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</si>
  <si>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</si>
  <si>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</si>
  <si>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</si>
  <si>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</si>
  <si>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</si>
  <si>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</si>
  <si>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</si>
  <si>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</si>
  <si>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</si>
  <si>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</si>
  <si>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</si>
  <si>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</si>
  <si>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</si>
  <si>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</si>
  <si>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</si>
  <si>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</si>
  <si>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</si>
  <si>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</si>
  <si>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</si>
  <si>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</si>
  <si>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</si>
  <si>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</si>
  <si>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</si>
  <si>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</si>
  <si>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</si>
  <si>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</si>
  <si>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</si>
  <si>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</si>
  <si>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</si>
  <si>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</si>
  <si>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</si>
  <si>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</si>
  <si>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</si>
  <si>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</si>
  <si>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</si>
  <si>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</si>
  <si>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</si>
  <si>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</si>
  <si>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</si>
  <si>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</si>
  <si>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</si>
  <si>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</si>
  <si>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</si>
  <si>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</si>
  <si>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</si>
  <si>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</si>
  <si>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</si>
  <si>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</si>
  <si>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</si>
  <si>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</si>
  <si>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</si>
  <si>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</si>
  <si>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</si>
  <si>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</si>
  <si>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</si>
  <si>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</si>
  <si>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</si>
  <si>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</si>
  <si>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</si>
  <si>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</si>
  <si>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</si>
  <si>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</si>
  <si>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</si>
  <si>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</si>
  <si>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</si>
  <si>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</si>
  <si>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</si>
  <si>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</si>
  <si>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</si>
  <si>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</si>
  <si>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</si>
  <si>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</si>
  <si>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</si>
  <si>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</si>
  <si>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</si>
  <si>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</si>
  <si>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</si>
  <si>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</si>
  <si>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</si>
  <si>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</si>
  <si>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</si>
  <si>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</si>
  <si>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</si>
  <si>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</si>
  <si>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</si>
  <si>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</si>
  <si>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</si>
  <si>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</si>
  <si>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</si>
  <si>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</si>
  <si>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</si>
  <si>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</si>
  <si>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</si>
  <si>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</si>
  <si>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</si>
  <si>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</si>
  <si>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</si>
  <si>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</si>
  <si>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</si>
  <si>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</si>
  <si>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</si>
  <si>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</si>
  <si>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</si>
  <si>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</si>
  <si>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</si>
  <si>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</si>
  <si>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</si>
  <si>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</si>
  <si>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</si>
  <si>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</si>
  <si>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</si>
  <si>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</si>
  <si>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</si>
  <si>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</si>
  <si>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</si>
  <si>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</si>
  <si>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</si>
  <si>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</si>
  <si>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</si>
  <si>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</si>
  <si>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</si>
  <si>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</si>
  <si>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</si>
  <si>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</si>
  <si>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</si>
  <si>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</si>
  <si>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</si>
  <si>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</si>
  <si>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</si>
  <si>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</si>
  <si>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</si>
  <si>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</si>
  <si>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</si>
  <si>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</si>
  <si>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</si>
  <si>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</si>
  <si>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</si>
  <si>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</si>
  <si>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</si>
  <si>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</si>
  <si>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</si>
  <si>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</si>
  <si>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</si>
  <si>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</si>
  <si>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</si>
  <si>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</si>
  <si>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</si>
  <si>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</si>
  <si>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</si>
  <si>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</si>
  <si>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</si>
  <si>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</si>
  <si>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</si>
  <si>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</si>
  <si>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</si>
  <si>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</si>
  <si>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</si>
  <si>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</si>
  <si>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</si>
  <si>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</si>
  <si>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</si>
  <si>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</si>
  <si>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</si>
  <si>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</si>
  <si>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</si>
  <si>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</si>
  <si>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</si>
  <si>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</si>
  <si>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</si>
  <si>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</si>
  <si>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</si>
  <si>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</si>
  <si>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</si>
  <si>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</si>
  <si>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</si>
  <si>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</si>
  <si>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</si>
  <si>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</si>
  <si>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</si>
  <si>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</si>
  <si>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</si>
  <si>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</si>
  <si>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</si>
  <si>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</si>
  <si>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</si>
  <si>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</si>
  <si>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</si>
  <si>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</si>
  <si>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</si>
  <si>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</si>
  <si>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</si>
  <si>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</si>
  <si>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</si>
  <si>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</si>
  <si>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</si>
  <si>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</si>
  <si>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</si>
  <si>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</si>
  <si>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</si>
  <si>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</si>
  <si>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</si>
  <si>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</si>
  <si>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</si>
  <si>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</si>
  <si>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</si>
  <si>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</si>
  <si>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</si>
  <si>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</si>
  <si>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</si>
  <si>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</si>
  <si>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</si>
  <si>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</si>
  <si>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</si>
  <si>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</si>
  <si>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</si>
  <si>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</si>
  <si>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</si>
  <si>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</si>
  <si>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</si>
  <si>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</si>
  <si>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</si>
  <si>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</si>
  <si>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</si>
  <si>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</si>
  <si>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</si>
  <si>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</si>
  <si>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</si>
  <si>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</si>
  <si>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</si>
  <si>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</si>
  <si>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</si>
  <si>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</si>
  <si>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</si>
  <si>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</si>
  <si>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</si>
  <si>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</si>
  <si>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</si>
  <si>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</si>
  <si>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</si>
  <si>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</si>
  <si>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</si>
  <si>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</si>
  <si>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</si>
  <si>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</si>
  <si>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</si>
  <si>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</si>
  <si>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</si>
  <si>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</si>
  <si>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</si>
  <si>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</si>
  <si>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</si>
  <si>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</si>
  <si>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</si>
  <si>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</si>
  <si>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</si>
  <si>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</si>
  <si>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</si>
  <si>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</si>
  <si>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</si>
  <si>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</si>
  <si>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</si>
  <si>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</si>
  <si>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</si>
  <si>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</si>
  <si>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</si>
  <si>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</si>
  <si>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</si>
  <si>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</si>
  <si>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</si>
  <si>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</si>
  <si>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</si>
  <si>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</si>
  <si>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</si>
  <si>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</si>
  <si>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</si>
  <si>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</si>
  <si>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</si>
  <si>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</si>
  <si>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</si>
  <si>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</si>
  <si>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</si>
  <si>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</si>
  <si>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</si>
  <si>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</si>
  <si>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</si>
  <si>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</si>
  <si>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</si>
  <si>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</si>
  <si>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</si>
  <si>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</si>
  <si>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</si>
  <si>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</si>
  <si>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</si>
  <si>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</si>
  <si>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</si>
  <si>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</si>
  <si>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</si>
  <si>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</si>
  <si>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</si>
  <si>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</si>
  <si>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</si>
  <si>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</si>
  <si>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</si>
  <si>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</si>
  <si>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</si>
  <si>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</si>
  <si>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</si>
  <si>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</si>
  <si>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</si>
  <si>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</si>
  <si>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</si>
  <si>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</si>
  <si>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</si>
  <si>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</si>
  <si>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</si>
  <si>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</si>
  <si>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</si>
  <si>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</si>
  <si>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</si>
  <si>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</si>
  <si>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</si>
  <si>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</si>
  <si>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</si>
  <si>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</si>
  <si>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</si>
  <si>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</si>
  <si>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</si>
  <si>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</si>
  <si>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</si>
  <si>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</si>
  <si>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</si>
  <si>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</si>
  <si>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</si>
  <si>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</si>
  <si>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</si>
  <si>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</si>
  <si>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</si>
  <si>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</si>
  <si>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</si>
  <si>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</si>
  <si>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</si>
  <si>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</si>
  <si>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</si>
  <si>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</si>
  <si>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</si>
  <si>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</si>
  <si>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</si>
  <si>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</si>
  <si>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</si>
  <si>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</si>
  <si>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</si>
  <si>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</si>
  <si>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</si>
  <si>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</si>
  <si>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</si>
  <si>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</si>
  <si>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</si>
  <si>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</si>
  <si>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</si>
  <si>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</si>
  <si>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</si>
  <si>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</si>
  <si>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</si>
  <si>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</si>
  <si>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</si>
  <si>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</si>
  <si>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</si>
  <si>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</si>
  <si>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</si>
  <si>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</si>
  <si>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</si>
  <si>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</si>
  <si>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</si>
  <si>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</si>
  <si>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</si>
  <si>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</si>
  <si>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</si>
  <si>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</si>
  <si>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</si>
  <si>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</si>
  <si>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</si>
  <si>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</si>
  <si>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</si>
  <si>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</si>
  <si>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</si>
  <si>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</si>
  <si>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</si>
  <si>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</si>
  <si>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</si>
  <si>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</si>
  <si>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</si>
  <si>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</si>
  <si>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</si>
  <si>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</si>
  <si>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</si>
  <si>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</si>
  <si>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</si>
  <si>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</si>
  <si>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</si>
  <si>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</si>
  <si>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</si>
  <si>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</si>
  <si>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</si>
  <si>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</si>
  <si>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</si>
  <si>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</si>
  <si>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</si>
  <si>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</si>
  <si>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</si>
  <si>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</si>
  <si>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</si>
  <si>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</si>
  <si>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</si>
  <si>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</si>
  <si>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</si>
  <si>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</si>
  <si>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</si>
  <si>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</si>
  <si>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</si>
  <si>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</si>
  <si>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</si>
  <si>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</si>
  <si>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</si>
  <si>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</si>
  <si>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</si>
  <si>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</si>
  <si>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</si>
  <si>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</si>
  <si>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</si>
  <si>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</si>
  <si>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</si>
  <si>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</si>
  <si>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</si>
  <si>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</si>
  <si>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</si>
  <si>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</si>
  <si>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</si>
  <si>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</si>
  <si>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</si>
  <si>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</si>
  <si>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</si>
  <si>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</si>
  <si>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</si>
  <si>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</si>
  <si>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</si>
  <si>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</si>
  <si>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</si>
  <si>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</si>
  <si>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</si>
  <si>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</si>
  <si>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</si>
  <si>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</si>
  <si>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</si>
  <si>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</si>
  <si>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</si>
  <si>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</si>
  <si>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</si>
  <si>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</si>
  <si>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</si>
  <si>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</si>
  <si>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</si>
  <si>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</si>
  <si>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</si>
  <si>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</si>
  <si>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</si>
  <si>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</si>
  <si>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</si>
  <si>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</si>
  <si>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</si>
  <si>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</si>
  <si>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</si>
  <si>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</si>
  <si>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</si>
  <si>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</si>
  <si>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</si>
  <si>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</si>
  <si>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</si>
  <si>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</si>
  <si>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</si>
  <si>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</si>
  <si>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</si>
  <si>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</si>
  <si>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</si>
  <si>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</si>
  <si>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</si>
  <si>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</si>
  <si>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</si>
  <si>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</si>
  <si>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</si>
  <si>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</si>
  <si>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</si>
  <si>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</si>
  <si>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</si>
  <si>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</si>
  <si>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</si>
  <si>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</si>
  <si>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</si>
  <si>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</si>
  <si>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</si>
  <si>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</si>
  <si>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</si>
  <si>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</si>
  <si>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</si>
  <si>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</si>
  <si>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</si>
  <si>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</si>
  <si>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</si>
  <si>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</si>
  <si>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</si>
  <si>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</si>
  <si>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</si>
  <si>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</si>
  <si>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</si>
  <si>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</si>
  <si>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</si>
  <si>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</si>
  <si>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</si>
  <si>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</si>
  <si>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</si>
  <si>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</si>
  <si>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</si>
  <si>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</si>
  <si>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</si>
  <si>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</si>
  <si>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</si>
  <si>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</si>
  <si>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</si>
  <si>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</si>
  <si>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</si>
  <si>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</si>
  <si>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</si>
  <si>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</si>
  <si>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</si>
  <si>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</si>
  <si>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</si>
  <si>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</si>
  <si>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</si>
  <si>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</si>
  <si>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</si>
  <si>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</si>
  <si>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</si>
  <si>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</si>
  <si>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</si>
  <si>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</si>
  <si>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</si>
  <si>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</si>
  <si>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</si>
  <si>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</si>
  <si>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</si>
  <si>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</si>
  <si>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</si>
  <si>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</si>
  <si>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</si>
  <si>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</si>
  <si>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</si>
  <si>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</si>
  <si>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</si>
  <si>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</si>
  <si>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</si>
  <si>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</si>
  <si>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</si>
  <si>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</si>
  <si>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</si>
  <si>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</si>
  <si>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</si>
  <si>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</si>
  <si>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</si>
  <si>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</si>
  <si>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</si>
  <si>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</si>
  <si>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</si>
  <si>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</si>
  <si>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</si>
  <si>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</si>
  <si>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</si>
  <si>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</si>
  <si>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</si>
  <si>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</si>
  <si>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</si>
  <si>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</si>
  <si>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</si>
  <si>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</si>
  <si>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</si>
  <si>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</si>
  <si>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</si>
  <si>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</si>
  <si>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</si>
  <si>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</si>
  <si>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</si>
  <si>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</si>
  <si>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</si>
  <si>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</si>
  <si>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</si>
  <si>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</si>
  <si>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</si>
  <si>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</si>
  <si>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</si>
  <si>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</si>
  <si>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</si>
  <si>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</si>
  <si>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</si>
  <si>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</si>
  <si>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</si>
  <si>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</si>
  <si>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</si>
  <si>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</si>
  <si>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</si>
  <si>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</si>
  <si>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</si>
  <si>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</si>
  <si>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</si>
  <si>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</si>
  <si>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</si>
  <si>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</si>
  <si>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</si>
  <si>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</si>
  <si>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</si>
  <si>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</si>
  <si>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</si>
  <si>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</si>
  <si>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</si>
  <si>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</si>
  <si>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</si>
  <si>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</si>
  <si>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</si>
  <si>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</si>
  <si>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</si>
  <si>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</si>
  <si>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</si>
  <si>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</si>
  <si>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</si>
  <si>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</si>
  <si>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</si>
  <si>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</si>
  <si>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</si>
  <si>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</si>
  <si>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</si>
  <si>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</si>
  <si>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</si>
  <si>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</si>
  <si>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</si>
  <si>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</si>
  <si>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</si>
  <si>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</si>
  <si>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</si>
  <si>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</si>
  <si>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</si>
  <si>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</si>
  <si>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</si>
  <si>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</si>
  <si>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</si>
  <si>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</si>
  <si>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</si>
  <si>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</si>
  <si>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</si>
  <si>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</si>
  <si>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</si>
  <si>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</si>
  <si>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</si>
  <si>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</si>
  <si>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</si>
  <si>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</si>
  <si>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</si>
  <si>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</si>
  <si>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</si>
  <si>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</si>
  <si>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</si>
  <si>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</si>
  <si>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</si>
  <si>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</si>
  <si>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</si>
  <si>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</si>
  <si>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</si>
  <si>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</si>
  <si>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</si>
  <si>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</si>
  <si>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</si>
  <si>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</si>
  <si>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</si>
  <si>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</si>
  <si>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</si>
  <si>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</si>
  <si>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</si>
  <si>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</si>
  <si>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</si>
  <si>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</si>
  <si>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</si>
  <si>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</si>
  <si>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</si>
  <si>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</si>
  <si>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</si>
  <si>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</si>
  <si>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</si>
  <si>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</si>
  <si>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</si>
  <si>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</si>
  <si>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</si>
  <si>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</si>
  <si>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</si>
  <si>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</si>
  <si>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</si>
  <si>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</si>
  <si>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</si>
  <si>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</si>
  <si>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</si>
  <si>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</si>
  <si>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</si>
  <si>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</si>
  <si>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</si>
  <si>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</si>
  <si>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</si>
  <si>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</si>
  <si>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</si>
  <si>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</si>
  <si>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</si>
  <si>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</si>
  <si>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</si>
  <si>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</si>
  <si>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</si>
  <si>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</si>
  <si>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</si>
  <si>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</si>
  <si>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</si>
  <si>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</si>
  <si>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</si>
  <si>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</si>
  <si>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</si>
  <si>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</si>
  <si>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</si>
  <si>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</si>
  <si>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</si>
  <si>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</si>
  <si>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</si>
  <si>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</si>
  <si>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</si>
  <si>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</si>
  <si>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</si>
  <si>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</si>
  <si>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</si>
  <si>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</si>
  <si>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</si>
  <si>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</si>
  <si>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</si>
  <si>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</si>
  <si>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</si>
  <si>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</si>
  <si>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</si>
  <si>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</si>
  <si>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</si>
  <si>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</si>
  <si>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</si>
  <si>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</si>
  <si>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</si>
  <si>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</si>
  <si>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</si>
  <si>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</si>
  <si>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</si>
  <si>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</si>
  <si>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</si>
  <si>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</si>
  <si>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</si>
  <si>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</si>
  <si>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</si>
  <si>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</si>
  <si>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</si>
  <si>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</si>
  <si>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</si>
  <si>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</si>
  <si>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</si>
  <si>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</si>
  <si>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</si>
  <si>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</si>
  <si>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</si>
  <si>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</si>
  <si>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</si>
  <si>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</si>
  <si>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</si>
  <si>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</si>
  <si>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</si>
  <si>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</si>
  <si>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</si>
  <si>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</si>
  <si>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</si>
  <si>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</si>
  <si>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</si>
  <si>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</si>
  <si>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</si>
  <si>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</si>
  <si>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</si>
  <si>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</si>
  <si>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</si>
  <si>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</si>
  <si>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</si>
  <si>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</si>
  <si>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</si>
  <si>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</si>
  <si>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</si>
  <si>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</si>
  <si>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</si>
  <si>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</si>
  <si>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</si>
  <si>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</si>
  <si>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</si>
  <si>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</si>
  <si>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</si>
  <si>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</si>
  <si>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</si>
  <si>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</si>
  <si>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</si>
  <si>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</si>
  <si>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</si>
  <si>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</si>
  <si>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</si>
  <si>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</si>
  <si>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</si>
  <si>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</si>
  <si>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</si>
  <si>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</si>
  <si>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</si>
  <si>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</si>
  <si>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</si>
  <si>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</si>
  <si>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</si>
  <si>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</si>
  <si>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</si>
  <si>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</si>
  <si>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</si>
  <si>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</si>
  <si>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</si>
  <si>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</si>
  <si>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</si>
  <si>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</si>
  <si>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</si>
  <si>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</si>
  <si>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</si>
  <si>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</si>
  <si>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</si>
  <si>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</si>
  <si>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</si>
  <si>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</si>
  <si>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</si>
  <si>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</si>
  <si>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</si>
  <si>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</si>
  <si>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</si>
  <si>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</si>
  <si>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</si>
  <si>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</si>
  <si>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</si>
  <si>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</si>
  <si>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</si>
  <si>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</si>
  <si>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</si>
  <si>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</si>
  <si>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</si>
  <si>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</si>
  <si>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</si>
  <si>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</si>
  <si>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</si>
  <si>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</si>
  <si>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</si>
  <si>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</si>
  <si>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</si>
  <si>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</si>
  <si>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</si>
  <si>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</si>
  <si>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</si>
  <si>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92143159456</t>
  </si>
  <si>
    <t>04129482</t>
  </si>
  <si>
    <t>040315389</t>
  </si>
  <si>
    <t>PONIKVE USLUGA d.o.o</t>
  </si>
  <si>
    <t>Vršanska 14</t>
  </si>
  <si>
    <t>ponikve@ponikve.hr</t>
  </si>
  <si>
    <t>w.w.w.ponikve.hr</t>
  </si>
  <si>
    <t>051654620</t>
  </si>
  <si>
    <t>Zvjezdana Ponoš</t>
  </si>
  <si>
    <t>zvjezdana.ponos@ponikve.hr</t>
  </si>
  <si>
    <t>HSFI</t>
  </si>
  <si>
    <t>Neven Hržić str.spec.ing.građ.</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</si>
</sst>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quot;Yes&quot;;&quot;Yes&quot;;&quot;No&quot;"/>
    <numFmt numFmtId="198" formatCode="&quot;True&quot;;&quot;True&quot;;&quot;False&quot;"/>
    <numFmt numFmtId="199" formatCode="&quot;On&quot;;&quot;On&quot;;&quot;Off&quot;"/>
    <numFmt numFmtId="200" formatCode="[$€-2]\ #,##0.00_);[Red]\([$€-2]\ #,##0.00\)"/>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221805.44</v>
      </c>
      <c r="I3" s="27">
        <f>ABS(ROUND(J3,0)-J3)+ABS(ROUND(K3,0)-K3)</f>
        <v>0</v>
      </c>
      <c r="J3" s="27">
        <f>Bilanca!I10</f>
        <v>3743452</v>
      </c>
      <c r="K3" s="27">
        <f>Bilanca!J10</f>
        <v>3673410</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04129482</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040315389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92143159456</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PONIKVE USLUGA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51500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Krk</v>
      </c>
      <c r="D11" s="4" t="s">
        <v>554</v>
      </c>
      <c r="E11" s="4">
        <v>1</v>
      </c>
      <c r="F11" s="4">
        <f>Bilanca!G18</f>
        <v>10</v>
      </c>
      <c r="G11" s="4">
        <f>IF(Bilanca!H18=0,"",Bilanca!H18)</f>
      </c>
      <c r="H11" s="26">
        <f t="shared" si="0"/>
        <v>1109027.2</v>
      </c>
      <c r="I11" s="27">
        <f t="shared" si="1"/>
        <v>0</v>
      </c>
      <c r="J11" s="27">
        <f>Bilanca!I18</f>
        <v>3743452</v>
      </c>
      <c r="K11" s="27">
        <f>Bilanca!J18</f>
        <v>3673410</v>
      </c>
    </row>
    <row r="12" spans="1:11" ht="12.75">
      <c r="A12" s="4" t="s">
        <v>2738</v>
      </c>
      <c r="B12" s="25" t="str">
        <f>TRIM(RefStr!C33)</f>
        <v>Vršanska 14</v>
      </c>
      <c r="D12" s="4" t="s">
        <v>554</v>
      </c>
      <c r="E12" s="4">
        <v>1</v>
      </c>
      <c r="F12" s="4">
        <f>Bilanca!G19</f>
        <v>11</v>
      </c>
      <c r="G12" s="4">
        <f>IF(Bilanca!H19=0,"",Bilanca!H19)</f>
      </c>
      <c r="H12" s="26">
        <f t="shared" si="0"/>
        <v>6270.660000000001</v>
      </c>
      <c r="I12" s="27">
        <f t="shared" si="1"/>
        <v>0</v>
      </c>
      <c r="J12" s="27">
        <f>Bilanca!I19</f>
        <v>19002</v>
      </c>
      <c r="K12" s="27">
        <f>Bilanca!J19</f>
        <v>19002</v>
      </c>
    </row>
    <row r="13" spans="1:11" ht="12.75">
      <c r="A13" s="4" t="s">
        <v>2884</v>
      </c>
      <c r="B13" s="25" t="str">
        <f>TRIM(RefStr!C35)</f>
        <v>ponikve@ponikve.hr</v>
      </c>
      <c r="D13" s="4" t="s">
        <v>554</v>
      </c>
      <c r="E13" s="4">
        <v>1</v>
      </c>
      <c r="F13" s="4">
        <f>Bilanca!G20</f>
        <v>12</v>
      </c>
      <c r="G13" s="4">
        <f>IF(Bilanca!H20=0,"",Bilanca!H20)</f>
      </c>
      <c r="H13" s="26">
        <f t="shared" si="0"/>
        <v>1096836.3599999999</v>
      </c>
      <c r="I13" s="27">
        <f t="shared" si="1"/>
        <v>0</v>
      </c>
      <c r="J13" s="27">
        <f>Bilanca!I20</f>
        <v>3135401</v>
      </c>
      <c r="K13" s="27">
        <f>Bilanca!J20</f>
        <v>3002451</v>
      </c>
    </row>
    <row r="14" spans="1:11" ht="12.75">
      <c r="A14" s="4" t="s">
        <v>2885</v>
      </c>
      <c r="B14" s="25" t="str">
        <f>TRIM(RefStr!C37)</f>
        <v>w.w.w.ponikve.hr</v>
      </c>
      <c r="D14" s="4" t="s">
        <v>554</v>
      </c>
      <c r="E14" s="4">
        <v>1</v>
      </c>
      <c r="F14" s="4">
        <f>Bilanca!G21</f>
        <v>13</v>
      </c>
      <c r="G14" s="4">
        <f>IF(Bilanca!H21=0,"",Bilanca!H21)</f>
      </c>
      <c r="H14" s="26">
        <f t="shared" si="0"/>
        <v>225426.89</v>
      </c>
      <c r="I14" s="27">
        <f t="shared" si="1"/>
        <v>0</v>
      </c>
      <c r="J14" s="27">
        <f>Bilanca!I21</f>
        <v>554843</v>
      </c>
      <c r="K14" s="27">
        <f>Bilanca!J21</f>
        <v>589605</v>
      </c>
    </row>
    <row r="15" spans="1:11" ht="12.75">
      <c r="A15" s="4" t="s">
        <v>2741</v>
      </c>
      <c r="B15" s="25" t="str">
        <f>TEXT(RefStr!J39,"00")</f>
        <v>08</v>
      </c>
      <c r="D15" s="4" t="s">
        <v>554</v>
      </c>
      <c r="E15" s="4">
        <v>1</v>
      </c>
      <c r="F15" s="4">
        <f>Bilanca!G22</f>
        <v>14</v>
      </c>
      <c r="G15" s="4">
        <f>IF(Bilanca!H22=0,"",Bilanca!H22)</f>
      </c>
      <c r="H15" s="26">
        <f t="shared" si="0"/>
        <v>22247.399999999998</v>
      </c>
      <c r="I15" s="27">
        <f t="shared" si="1"/>
        <v>0</v>
      </c>
      <c r="J15" s="27">
        <f>Bilanca!I22</f>
        <v>34206</v>
      </c>
      <c r="K15" s="27">
        <f>Bilanca!J22</f>
        <v>62352</v>
      </c>
    </row>
    <row r="16" spans="1:11" ht="12.75">
      <c r="A16" s="4" t="s">
        <v>2740</v>
      </c>
      <c r="B16" s="25" t="str">
        <f>TEXT(RefStr!C39,"000")</f>
        <v>215</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6920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20</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19</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20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19</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10374276.82</v>
      </c>
      <c r="I38" s="27">
        <f t="shared" si="1"/>
        <v>0</v>
      </c>
      <c r="J38" s="27">
        <f>Bilanca!I45</f>
        <v>7863720</v>
      </c>
      <c r="K38" s="27">
        <f>Bilanca!J45</f>
        <v>10087433</v>
      </c>
    </row>
    <row r="39" spans="1:11" ht="12.75">
      <c r="A39" s="4" t="s">
        <v>1611</v>
      </c>
      <c r="B39" s="25" t="str">
        <f>RefStr!C68</f>
        <v>Zvjezdana Ponoš</v>
      </c>
      <c r="D39" s="4" t="s">
        <v>554</v>
      </c>
      <c r="E39" s="4">
        <v>1</v>
      </c>
      <c r="F39" s="4">
        <f>Bilanca!G46</f>
        <v>38</v>
      </c>
      <c r="G39" s="4">
        <f>IF(Bilanca!H46=0,"",Bilanca!H46)</f>
      </c>
      <c r="H39" s="26">
        <f t="shared" si="0"/>
        <v>17785.899999999998</v>
      </c>
      <c r="I39" s="27">
        <f t="shared" si="1"/>
        <v>0</v>
      </c>
      <c r="J39" s="27">
        <f>Bilanca!I46</f>
        <v>185</v>
      </c>
      <c r="K39" s="27">
        <f>Bilanca!J46</f>
        <v>23310</v>
      </c>
    </row>
    <row r="40" spans="1:11" ht="12.75">
      <c r="A40" s="4" t="s">
        <v>1612</v>
      </c>
      <c r="B40" s="25" t="str">
        <f>TRIM(RefStr!C70)</f>
        <v>051654620</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zvjezdana.ponos@ponikve.hr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Neven Hržić str.spec.ing.građ.</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20126.149999999998</v>
      </c>
      <c r="I44" s="27">
        <f t="shared" si="1"/>
        <v>0</v>
      </c>
      <c r="J44" s="27">
        <f>Bilanca!I51</f>
        <v>185</v>
      </c>
      <c r="K44" s="27">
        <f>Bilanca!J51</f>
        <v>23310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8431795.4</v>
      </c>
      <c r="I47" s="27">
        <f t="shared" si="3"/>
        <v>0</v>
      </c>
      <c r="J47" s="27">
        <f>Bilanca!I54</f>
        <v>4490352</v>
      </c>
      <c r="K47" s="27">
        <f>Bilanca!J54</f>
        <v>6919819</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8981307.02</v>
      </c>
      <c r="I50" s="27">
        <f t="shared" si="3"/>
        <v>0</v>
      </c>
      <c r="J50" s="27">
        <f>Bilanca!I57</f>
        <v>4489560</v>
      </c>
      <c r="K50" s="27">
        <f>Bilanca!J57</f>
        <v>6919819</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403.92</v>
      </c>
      <c r="I52" s="27">
        <f t="shared" si="3"/>
        <v>0</v>
      </c>
      <c r="J52" s="27">
        <f>Bilanca!I59</f>
        <v>792</v>
      </c>
      <c r="K52" s="27">
        <f>Bilanca!J59</f>
        <v>0</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1264545251.29</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6086928.33</v>
      </c>
      <c r="I64" s="27">
        <f t="shared" si="3"/>
        <v>0</v>
      </c>
      <c r="J64" s="27">
        <f>Bilanca!I71</f>
        <v>3373183</v>
      </c>
      <c r="K64" s="27">
        <f>Bilanca!J71</f>
        <v>3144304</v>
      </c>
    </row>
    <row r="65" spans="1:11" ht="12.75">
      <c r="A65" s="4" t="s">
        <v>923</v>
      </c>
      <c r="B65" s="25" t="str">
        <f>TRIM(RefStr!N19)</f>
        <v>HSFI</v>
      </c>
      <c r="D65" s="4" t="s">
        <v>554</v>
      </c>
      <c r="E65" s="4">
        <v>1</v>
      </c>
      <c r="F65" s="4">
        <f>Bilanca!G72</f>
        <v>64</v>
      </c>
      <c r="G65" s="4">
        <f>IF(Bilanca!H72=0,"",Bilanca!H72)</f>
      </c>
      <c r="H65" s="26">
        <f t="shared" si="2"/>
        <v>23770.24</v>
      </c>
      <c r="I65" s="27">
        <f t="shared" si="3"/>
        <v>0</v>
      </c>
      <c r="J65" s="27">
        <f>Bilanca!I72</f>
        <v>767</v>
      </c>
      <c r="K65" s="27">
        <f>Bilanca!J72</f>
        <v>18187</v>
      </c>
    </row>
    <row r="66" spans="1:11" ht="12.75">
      <c r="A66" s="4" t="s">
        <v>924</v>
      </c>
      <c r="B66" s="25">
        <f>RefStr!C23</f>
        <v>1</v>
      </c>
      <c r="D66" s="4" t="s">
        <v>554</v>
      </c>
      <c r="E66" s="4">
        <v>1</v>
      </c>
      <c r="F66" s="4">
        <f>Bilanca!G73</f>
        <v>65</v>
      </c>
      <c r="G66" s="4">
        <f>IF(Bilanca!H73=0,"",Bilanca!H73)</f>
      </c>
      <c r="H66" s="26">
        <f t="shared" si="2"/>
        <v>25457899.35</v>
      </c>
      <c r="I66" s="27">
        <f t="shared" si="3"/>
        <v>0</v>
      </c>
      <c r="J66" s="27">
        <f>Bilanca!I73</f>
        <v>11607939</v>
      </c>
      <c r="K66" s="27">
        <f>Bilanca!J73</f>
        <v>13779030</v>
      </c>
    </row>
    <row r="67" spans="1:11" ht="12.75">
      <c r="A67" s="4" t="s">
        <v>925</v>
      </c>
      <c r="B67" s="25" t="str">
        <f>TRIM(RefStr!L35)</f>
        <v>051654620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9304375.76</v>
      </c>
      <c r="I68" s="27">
        <f t="shared" si="3"/>
        <v>0</v>
      </c>
      <c r="J68" s="27">
        <f>Bilanca!I76</f>
        <v>4616088</v>
      </c>
      <c r="K68" s="27">
        <f>Bilanca!J76</f>
        <v>4635520</v>
      </c>
    </row>
    <row r="69" spans="1:11" ht="12.75">
      <c r="A69" s="4" t="s">
        <v>927</v>
      </c>
      <c r="B69" s="25">
        <f>TRIM(RefStr!M46)</f>
      </c>
      <c r="D69" s="4" t="s">
        <v>554</v>
      </c>
      <c r="E69" s="4">
        <v>1</v>
      </c>
      <c r="F69" s="4">
        <f>Bilanca!G77</f>
        <v>68</v>
      </c>
      <c r="G69" s="4">
        <f>IF(Bilanca!H77=0,"",Bilanca!H77)</f>
      </c>
      <c r="H69" s="26">
        <f t="shared" si="2"/>
        <v>9160620</v>
      </c>
      <c r="I69" s="27">
        <f t="shared" si="3"/>
        <v>0</v>
      </c>
      <c r="J69" s="27">
        <f>Bilanca!I77</f>
        <v>4490500</v>
      </c>
      <c r="K69" s="27">
        <f>Bilanca!J77</f>
        <v>4490500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305850.85000000003</v>
      </c>
      <c r="I84" s="27">
        <f t="shared" si="3"/>
        <v>0</v>
      </c>
      <c r="J84" s="27">
        <f>Bilanca!I92</f>
        <v>117319</v>
      </c>
      <c r="K84" s="27">
        <f>Bilanca!J92</f>
        <v>125588</v>
      </c>
    </row>
    <row r="85" spans="4:11" ht="12.75">
      <c r="D85" s="4" t="s">
        <v>554</v>
      </c>
      <c r="E85" s="4">
        <v>1</v>
      </c>
      <c r="F85" s="4">
        <f>Bilanca!G93</f>
        <v>84</v>
      </c>
      <c r="G85" s="4">
        <f>IF(Bilanca!H93=0,"",Bilanca!H93)</f>
      </c>
      <c r="H85" s="26">
        <f t="shared" si="2"/>
        <v>309535.80000000005</v>
      </c>
      <c r="I85" s="27">
        <f t="shared" si="3"/>
        <v>0</v>
      </c>
      <c r="J85" s="27">
        <f>Bilanca!I93</f>
        <v>117319</v>
      </c>
      <c r="K85" s="27">
        <f>Bilanca!J93</f>
        <v>125588</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40534.380000000005</v>
      </c>
      <c r="I87" s="27">
        <f>ABS(ROUND(J87,0)-J87)+ABS(ROUND(K87,0)-K87)</f>
        <v>0</v>
      </c>
      <c r="J87" s="27">
        <f>Bilanca!I95</f>
        <v>8269</v>
      </c>
      <c r="K87" s="27">
        <f>Bilanca!J95</f>
        <v>19432</v>
      </c>
    </row>
    <row r="88" spans="4:11" ht="12.75">
      <c r="D88" s="4" t="s">
        <v>554</v>
      </c>
      <c r="E88" s="4">
        <v>1</v>
      </c>
      <c r="F88" s="4">
        <f>Bilanca!G96</f>
        <v>87</v>
      </c>
      <c r="G88" s="4">
        <f>IF(Bilanca!H96=0,"",Bilanca!H96)</f>
      </c>
      <c r="H88" s="26">
        <f>J88/100*F88+2*K88/100*F88</f>
        <v>41005.71</v>
      </c>
      <c r="I88" s="27">
        <f>ABS(ROUND(J88,0)-J88)+ABS(ROUND(K88,0)-K88)</f>
        <v>0</v>
      </c>
      <c r="J88" s="27">
        <f>Bilanca!I96</f>
        <v>8269</v>
      </c>
      <c r="K88" s="27">
        <f>Bilanca!J96</f>
        <v>19432</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2056329.69</v>
      </c>
      <c r="I110" s="27">
        <f t="shared" si="5"/>
        <v>0</v>
      </c>
      <c r="J110" s="27">
        <f>Bilanca!I118</f>
        <v>562679</v>
      </c>
      <c r="K110" s="27">
        <f>Bilanca!J118</f>
        <v>661931</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57000</v>
      </c>
      <c r="I115" s="27">
        <f t="shared" si="5"/>
        <v>0</v>
      </c>
      <c r="J115" s="27">
        <f>Bilanca!I123</f>
        <v>50000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2083.36</v>
      </c>
      <c r="I117" s="27">
        <f t="shared" si="5"/>
        <v>0</v>
      </c>
      <c r="J117" s="27">
        <f>Bilanca!I125</f>
        <v>0</v>
      </c>
      <c r="K117" s="27">
        <f>Bilanca!J125</f>
        <v>898</v>
      </c>
    </row>
    <row r="118" spans="4:11" ht="12.75">
      <c r="D118" s="4" t="s">
        <v>554</v>
      </c>
      <c r="E118" s="4">
        <v>1</v>
      </c>
      <c r="F118" s="4">
        <f>Bilanca!G126</f>
        <v>117</v>
      </c>
      <c r="G118" s="4">
        <f>IF(Bilanca!H126=0,"",Bilanca!H126)</f>
      </c>
      <c r="H118" s="26">
        <f t="shared" si="4"/>
        <v>1085066.19</v>
      </c>
      <c r="I118" s="27">
        <f t="shared" si="5"/>
        <v>0</v>
      </c>
      <c r="J118" s="27">
        <f>Bilanca!I126</f>
        <v>232637</v>
      </c>
      <c r="K118" s="27">
        <f>Bilanca!J126</f>
        <v>347385</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554421</v>
      </c>
      <c r="I120" s="27">
        <f t="shared" si="5"/>
        <v>0</v>
      </c>
      <c r="J120" s="27">
        <f>Bilanca!I128</f>
        <v>156790</v>
      </c>
      <c r="K120" s="27">
        <f>Bilanca!J128</f>
        <v>154555</v>
      </c>
    </row>
    <row r="121" spans="4:11" ht="12.75">
      <c r="D121" s="4" t="s">
        <v>554</v>
      </c>
      <c r="E121" s="4">
        <v>1</v>
      </c>
      <c r="F121" s="4">
        <f>Bilanca!G129</f>
        <v>120</v>
      </c>
      <c r="G121" s="4">
        <f>IF(Bilanca!H129=0,"",Bilanca!H129)</f>
      </c>
      <c r="H121" s="26">
        <f t="shared" si="4"/>
        <v>473050.8</v>
      </c>
      <c r="I121" s="27">
        <f t="shared" si="5"/>
        <v>0</v>
      </c>
      <c r="J121" s="27">
        <f>Bilanca!I129</f>
        <v>118099</v>
      </c>
      <c r="K121" s="27">
        <f>Bilanca!J129</f>
        <v>138055</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58091.67</v>
      </c>
      <c r="I124" s="27">
        <f t="shared" si="5"/>
        <v>0</v>
      </c>
      <c r="J124" s="27">
        <f>Bilanca!I132</f>
        <v>5153</v>
      </c>
      <c r="K124" s="27">
        <f>Bilanca!J132</f>
        <v>21038</v>
      </c>
    </row>
    <row r="125" spans="4:11" ht="12.75">
      <c r="D125" s="4" t="s">
        <v>554</v>
      </c>
      <c r="E125" s="4">
        <v>1</v>
      </c>
      <c r="F125" s="4">
        <f>Bilanca!G133</f>
        <v>124</v>
      </c>
      <c r="G125" s="4">
        <f>IF(Bilanca!H133=0,"",Bilanca!H133)</f>
      </c>
      <c r="H125" s="26">
        <f t="shared" si="4"/>
        <v>29006489.2</v>
      </c>
      <c r="I125" s="27">
        <f t="shared" si="5"/>
        <v>0</v>
      </c>
      <c r="J125" s="27">
        <f>Bilanca!I133</f>
        <v>6429172</v>
      </c>
      <c r="K125" s="27">
        <f>Bilanca!J133</f>
        <v>8481579</v>
      </c>
    </row>
    <row r="126" spans="4:11" ht="12.75">
      <c r="D126" s="4" t="s">
        <v>554</v>
      </c>
      <c r="E126" s="4">
        <v>1</v>
      </c>
      <c r="F126" s="4">
        <f>Bilanca!G134</f>
        <v>125</v>
      </c>
      <c r="G126" s="4">
        <f>IF(Bilanca!H134=0,"",Bilanca!H134)</f>
      </c>
      <c r="H126" s="26">
        <f t="shared" si="4"/>
        <v>48957498.75</v>
      </c>
      <c r="I126" s="27">
        <f t="shared" si="5"/>
        <v>0</v>
      </c>
      <c r="J126" s="27">
        <f>Bilanca!I134</f>
        <v>11607939</v>
      </c>
      <c r="K126" s="27">
        <f>Bilanca!J134</f>
        <v>13779030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22514231.07</v>
      </c>
      <c r="I128" s="4">
        <f t="shared" si="5"/>
        <v>0</v>
      </c>
      <c r="J128" s="27">
        <f>RDG!I8</f>
        <v>5692801</v>
      </c>
      <c r="K128" s="27">
        <f>RDG!J8</f>
        <v>6017470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22592961.96</v>
      </c>
      <c r="I130" s="4">
        <f aca="true" t="shared" si="7" ref="I130:I192">ABS(ROUND(J130,0)-J130)+ABS(ROUND(K130,0)-K130)</f>
        <v>0</v>
      </c>
      <c r="J130" s="27">
        <f>RDG!I10</f>
        <v>5618328</v>
      </c>
      <c r="K130" s="27">
        <f>RDG!J10</f>
        <v>5947798</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282238.44</v>
      </c>
      <c r="I133" s="4">
        <f t="shared" si="7"/>
        <v>0</v>
      </c>
      <c r="J133" s="27">
        <f>RDG!I13</f>
        <v>74473</v>
      </c>
      <c r="K133" s="27">
        <f>RDG!J13</f>
        <v>69672</v>
      </c>
    </row>
    <row r="134" spans="4:11" ht="12.75">
      <c r="D134" s="4" t="s">
        <v>794</v>
      </c>
      <c r="E134" s="4">
        <v>2</v>
      </c>
      <c r="F134" s="4">
        <f>RDG!G14</f>
        <v>133</v>
      </c>
      <c r="G134" s="4">
        <f>IF(RDG!H14=0,"",RDG!H14)</f>
      </c>
      <c r="H134" s="26">
        <f t="shared" si="6"/>
        <v>23507368.29</v>
      </c>
      <c r="I134" s="4">
        <f t="shared" si="7"/>
        <v>0</v>
      </c>
      <c r="J134" s="27">
        <f>RDG!I14</f>
        <v>5682019</v>
      </c>
      <c r="K134" s="27">
        <f>RDG!J14</f>
        <v>5996347</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9914270.4</v>
      </c>
      <c r="I136" s="4">
        <f t="shared" si="7"/>
        <v>0</v>
      </c>
      <c r="J136" s="27">
        <f>RDG!I16</f>
        <v>2334572</v>
      </c>
      <c r="K136" s="27">
        <f>RDG!J16</f>
        <v>2504666</v>
      </c>
    </row>
    <row r="137" spans="4:11" ht="12.75">
      <c r="D137" s="4" t="s">
        <v>794</v>
      </c>
      <c r="E137" s="4">
        <v>2</v>
      </c>
      <c r="F137" s="4">
        <f>RDG!G17</f>
        <v>136</v>
      </c>
      <c r="G137" s="4">
        <f>IF(RDG!H17=0,"",RDG!H17)</f>
      </c>
      <c r="H137" s="26">
        <f t="shared" si="6"/>
        <v>1989904.4</v>
      </c>
      <c r="I137" s="4">
        <f t="shared" si="7"/>
        <v>0</v>
      </c>
      <c r="J137" s="27">
        <f>RDG!I17</f>
        <v>467017</v>
      </c>
      <c r="K137" s="27">
        <f>RDG!J17</f>
        <v>498074</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8115419.82</v>
      </c>
      <c r="I139" s="4">
        <f t="shared" si="7"/>
        <v>0</v>
      </c>
      <c r="J139" s="27">
        <f>RDG!I19</f>
        <v>1867555</v>
      </c>
      <c r="K139" s="27">
        <f>RDG!J19</f>
        <v>2006592</v>
      </c>
    </row>
    <row r="140" spans="4:11" ht="12.75">
      <c r="D140" s="4" t="s">
        <v>794</v>
      </c>
      <c r="E140" s="4">
        <v>2</v>
      </c>
      <c r="F140" s="4">
        <f>RDG!G20</f>
        <v>139</v>
      </c>
      <c r="G140" s="4">
        <f>IF(RDG!H20=0,"",RDG!H20)</f>
      </c>
      <c r="H140" s="26">
        <f t="shared" si="6"/>
        <v>10965251.3</v>
      </c>
      <c r="I140" s="4">
        <f t="shared" si="7"/>
        <v>0</v>
      </c>
      <c r="J140" s="27">
        <f>RDG!I20</f>
        <v>2594062</v>
      </c>
      <c r="K140" s="27">
        <f>RDG!J20</f>
        <v>2647304</v>
      </c>
    </row>
    <row r="141" spans="4:11" ht="12.75">
      <c r="D141" s="4" t="s">
        <v>794</v>
      </c>
      <c r="E141" s="4">
        <v>2</v>
      </c>
      <c r="F141" s="4">
        <f>RDG!G21</f>
        <v>140</v>
      </c>
      <c r="G141" s="4">
        <f>IF(RDG!H21=0,"",RDG!H21)</f>
      </c>
      <c r="H141" s="26">
        <f t="shared" si="6"/>
        <v>7020923</v>
      </c>
      <c r="I141" s="4">
        <f t="shared" si="7"/>
        <v>0</v>
      </c>
      <c r="J141" s="27">
        <f>RDG!I21</f>
        <v>1668431</v>
      </c>
      <c r="K141" s="27">
        <f>RDG!J21</f>
        <v>1673257</v>
      </c>
    </row>
    <row r="142" spans="4:11" ht="12.75">
      <c r="D142" s="4" t="s">
        <v>794</v>
      </c>
      <c r="E142" s="4">
        <v>2</v>
      </c>
      <c r="F142" s="4">
        <f>RDG!G22</f>
        <v>141</v>
      </c>
      <c r="G142" s="4">
        <f>IF(RDG!H22=0,"",RDG!H22)</f>
      </c>
      <c r="H142" s="26">
        <f t="shared" si="6"/>
        <v>2644635.48</v>
      </c>
      <c r="I142" s="4">
        <f t="shared" si="7"/>
        <v>0</v>
      </c>
      <c r="J142" s="27">
        <f>RDG!I22</f>
        <v>605382</v>
      </c>
      <c r="K142" s="27">
        <f>RDG!J22</f>
        <v>635123</v>
      </c>
    </row>
    <row r="143" spans="4:11" ht="12.75">
      <c r="D143" s="4" t="s">
        <v>794</v>
      </c>
      <c r="E143" s="4">
        <v>2</v>
      </c>
      <c r="F143" s="4">
        <f>RDG!G23</f>
        <v>142</v>
      </c>
      <c r="G143" s="4">
        <f>IF(RDG!H23=0,"",RDG!H23)</f>
      </c>
      <c r="H143" s="26">
        <f t="shared" si="6"/>
        <v>1417297.7399999998</v>
      </c>
      <c r="I143" s="4">
        <f t="shared" si="7"/>
        <v>0</v>
      </c>
      <c r="J143" s="27">
        <f>RDG!I23</f>
        <v>320249</v>
      </c>
      <c r="K143" s="27">
        <f>RDG!J23</f>
        <v>338924</v>
      </c>
    </row>
    <row r="144" spans="4:11" ht="12.75">
      <c r="D144" s="4" t="s">
        <v>794</v>
      </c>
      <c r="E144" s="4">
        <v>2</v>
      </c>
      <c r="F144" s="4">
        <f>RDG!G24</f>
        <v>143</v>
      </c>
      <c r="G144" s="4">
        <f>IF(RDG!H24=0,"",RDG!H24)</f>
      </c>
      <c r="H144" s="26">
        <f t="shared" si="6"/>
        <v>1448110.9500000002</v>
      </c>
      <c r="I144" s="4">
        <f t="shared" si="7"/>
        <v>0</v>
      </c>
      <c r="J144" s="27">
        <f>RDG!I24</f>
        <v>336063</v>
      </c>
      <c r="K144" s="27">
        <f>RDG!J24</f>
        <v>338301</v>
      </c>
    </row>
    <row r="145" spans="4:11" ht="12.75">
      <c r="D145" s="4" t="s">
        <v>794</v>
      </c>
      <c r="E145" s="4">
        <v>2</v>
      </c>
      <c r="F145" s="4">
        <f>RDG!G25</f>
        <v>144</v>
      </c>
      <c r="G145" s="4">
        <f>IF(RDG!H25=0,"",RDG!H25)</f>
      </c>
      <c r="H145" s="26">
        <f t="shared" si="6"/>
        <v>2013785.28</v>
      </c>
      <c r="I145" s="4">
        <f t="shared" si="7"/>
        <v>0</v>
      </c>
      <c r="J145" s="27">
        <f>RDG!I25</f>
        <v>405188</v>
      </c>
      <c r="K145" s="27">
        <f>RDG!J25</f>
        <v>496637</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48068.600000000006</v>
      </c>
      <c r="I156" s="4">
        <f t="shared" si="7"/>
        <v>0</v>
      </c>
      <c r="J156" s="27">
        <f>RDG!I36</f>
        <v>12134</v>
      </c>
      <c r="K156" s="27">
        <f>RDG!J36</f>
        <v>9439</v>
      </c>
    </row>
    <row r="157" spans="4:11" ht="12.75">
      <c r="D157" s="4" t="s">
        <v>794</v>
      </c>
      <c r="E157" s="4">
        <v>2</v>
      </c>
      <c r="F157" s="4">
        <f>RDG!G37</f>
        <v>156</v>
      </c>
      <c r="G157" s="4">
        <f>IF(RDG!H37=0,"",RDG!H37)</f>
      </c>
      <c r="H157" s="26">
        <f t="shared" si="6"/>
        <v>31.2</v>
      </c>
      <c r="I157" s="4">
        <f t="shared" si="7"/>
        <v>0</v>
      </c>
      <c r="J157" s="27">
        <f>RDG!I37</f>
        <v>8</v>
      </c>
      <c r="K157" s="27">
        <f>RDG!J37</f>
        <v>6</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32.6</v>
      </c>
      <c r="I164" s="4">
        <f t="shared" si="7"/>
        <v>0</v>
      </c>
      <c r="J164" s="27">
        <f>RDG!I44</f>
        <v>8</v>
      </c>
      <c r="K164" s="27">
        <f>RDG!J44</f>
        <v>6</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9878.05</v>
      </c>
      <c r="I168" s="4">
        <f t="shared" si="7"/>
        <v>0</v>
      </c>
      <c r="J168" s="27">
        <f>RDG!I48</f>
        <v>2521</v>
      </c>
      <c r="K168" s="27">
        <f>RDG!J48</f>
        <v>1697</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1664.3</v>
      </c>
      <c r="I171" s="4">
        <f t="shared" si="7"/>
        <v>0</v>
      </c>
      <c r="J171" s="27">
        <f>RDG!I51</f>
        <v>751</v>
      </c>
      <c r="K171" s="27">
        <f>RDG!J51</f>
        <v>114</v>
      </c>
    </row>
    <row r="172" spans="4:11" ht="12.75">
      <c r="D172" s="4" t="s">
        <v>794</v>
      </c>
      <c r="E172" s="4">
        <v>2</v>
      </c>
      <c r="F172" s="4">
        <f>RDG!G52</f>
        <v>171</v>
      </c>
      <c r="G172" s="4">
        <f>IF(RDG!H52=0,"",RDG!H52)</f>
      </c>
      <c r="H172" s="26">
        <f t="shared" si="6"/>
        <v>8440.56</v>
      </c>
      <c r="I172" s="4">
        <f t="shared" si="7"/>
        <v>0</v>
      </c>
      <c r="J172" s="27">
        <f>RDG!I52</f>
        <v>1770</v>
      </c>
      <c r="K172" s="27">
        <f>RDG!J52</f>
        <v>1583</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31732692.19</v>
      </c>
      <c r="I180" s="4">
        <f t="shared" si="7"/>
        <v>0</v>
      </c>
      <c r="J180" s="27">
        <f>RDG!I60</f>
        <v>5692809</v>
      </c>
      <c r="K180" s="27">
        <f>RDG!J60</f>
        <v>6017476</v>
      </c>
    </row>
    <row r="181" spans="4:11" ht="12.75">
      <c r="D181" s="4" t="s">
        <v>794</v>
      </c>
      <c r="E181" s="4">
        <v>2</v>
      </c>
      <c r="F181" s="4">
        <f>RDG!G61</f>
        <v>180</v>
      </c>
      <c r="G181" s="4">
        <f>IF(RDG!H61=0,"",RDG!H61)</f>
      </c>
      <c r="H181" s="26">
        <f t="shared" si="6"/>
        <v>31825130.400000002</v>
      </c>
      <c r="I181" s="4">
        <f t="shared" si="7"/>
        <v>0</v>
      </c>
      <c r="J181" s="27">
        <f>RDG!I61</f>
        <v>5684540</v>
      </c>
      <c r="K181" s="27">
        <f>RDG!J61</f>
        <v>5998044</v>
      </c>
    </row>
    <row r="182" spans="4:11" ht="12.75">
      <c r="D182" s="4" t="s">
        <v>794</v>
      </c>
      <c r="E182" s="4">
        <v>2</v>
      </c>
      <c r="F182" s="4">
        <f>RDG!G62</f>
        <v>181</v>
      </c>
      <c r="G182" s="4">
        <f>IF(RDG!H62=0,"",RDG!H62)</f>
      </c>
      <c r="H182" s="26">
        <f t="shared" si="6"/>
        <v>85310.73</v>
      </c>
      <c r="I182" s="4">
        <f t="shared" si="7"/>
        <v>0</v>
      </c>
      <c r="J182" s="27">
        <f>RDG!I62</f>
        <v>8269</v>
      </c>
      <c r="K182" s="27">
        <f>RDG!J62</f>
        <v>19432</v>
      </c>
    </row>
    <row r="183" spans="4:11" ht="12.75">
      <c r="D183" s="4" t="s">
        <v>794</v>
      </c>
      <c r="E183" s="4">
        <v>2</v>
      </c>
      <c r="F183" s="4">
        <f>RDG!G63</f>
        <v>182</v>
      </c>
      <c r="G183" s="4">
        <f>IF(RDG!H63=0,"",RDG!H63)</f>
      </c>
      <c r="H183" s="26">
        <f t="shared" si="6"/>
        <v>85782.06</v>
      </c>
      <c r="I183" s="4">
        <f t="shared" si="7"/>
        <v>0</v>
      </c>
      <c r="J183" s="27">
        <f>RDG!I63</f>
        <v>8269</v>
      </c>
      <c r="K183" s="27">
        <f>RDG!J63</f>
        <v>19432</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87196.04999999999</v>
      </c>
      <c r="I186" s="4">
        <f t="shared" si="7"/>
        <v>0</v>
      </c>
      <c r="J186" s="27">
        <f>RDG!I66</f>
        <v>8269</v>
      </c>
      <c r="K186" s="27">
        <f>RDG!J66</f>
        <v>19432</v>
      </c>
    </row>
    <row r="187" spans="4:11" ht="12.75">
      <c r="D187" s="4" t="s">
        <v>794</v>
      </c>
      <c r="E187" s="4">
        <v>2</v>
      </c>
      <c r="F187" s="4">
        <f>RDG!G67</f>
        <v>186</v>
      </c>
      <c r="G187" s="4">
        <f>IF(RDG!H67=0,"",RDG!H67)</f>
      </c>
      <c r="H187" s="26">
        <f t="shared" si="6"/>
        <v>87667.37999999999</v>
      </c>
      <c r="I187" s="4">
        <f t="shared" si="7"/>
        <v>0</v>
      </c>
      <c r="J187" s="27">
        <f>RDG!I67</f>
        <v>8269</v>
      </c>
      <c r="K187" s="27">
        <f>RDG!J67</f>
        <v>19432</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2"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PONIKVE USLUGA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51500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92143159456</v>
      </c>
      <c r="V4" s="206" t="s">
        <v>2737</v>
      </c>
      <c r="W4" s="224" t="str">
        <f>RefStr!F31</f>
        <v>Krk</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2</v>
      </c>
      <c r="T5" s="206" t="s">
        <v>1560</v>
      </c>
      <c r="U5" s="224" t="str">
        <f>RefStr!H27</f>
        <v>04129482</v>
      </c>
      <c r="V5" s="206" t="s">
        <v>2738</v>
      </c>
      <c r="W5" s="224" t="str">
        <f>RefStr!C33</f>
        <v>Vršanska 14</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040315389</v>
      </c>
      <c r="V6" s="206" t="s">
        <v>2968</v>
      </c>
      <c r="W6" s="224" t="str">
        <f>RefStr!L35</f>
        <v>051654620</v>
      </c>
      <c r="X6" s="206" t="s">
        <v>2926</v>
      </c>
      <c r="Y6" s="224" t="str">
        <f>RefStr!C68</f>
        <v>Zvjezdana Ponoš</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1</v>
      </c>
      <c r="V7" s="206" t="s">
        <v>2884</v>
      </c>
      <c r="W7" s="224" t="str">
        <f>TRIM(UPPER(RefStr!C35))</f>
        <v>PONIKVE@PONIKVE.HR</v>
      </c>
      <c r="X7" s="206" t="s">
        <v>2927</v>
      </c>
      <c r="Y7" s="224" t="str">
        <f>RefStr!C70</f>
        <v>051654620</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6920</v>
      </c>
      <c r="X8" s="206" t="s">
        <v>2928</v>
      </c>
      <c r="Y8" s="224" t="str">
        <f>TRIM(UPPER(RefStr!C72))</f>
        <v>ZVJEZDANA.PONOS@PONIKVE.HR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20</v>
      </c>
      <c r="Q9" s="223">
        <f>RefStr!F58</f>
        <v>19</v>
      </c>
      <c r="R9" s="206" t="s">
        <v>914</v>
      </c>
      <c r="S9" s="224">
        <f>IF(RefStr!F4&lt;&gt;"",RefStr!F4,0)</f>
        <v>44926</v>
      </c>
      <c r="T9" s="206" t="s">
        <v>891</v>
      </c>
      <c r="U9" s="224">
        <f>RefStr!C39</f>
        <v>215</v>
      </c>
      <c r="V9" s="206" t="s">
        <v>2951</v>
      </c>
      <c r="W9" s="224" t="str">
        <f>RefStr!D42</f>
        <v>Računovodstvene, knjigovodstvene i rev...</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20</v>
      </c>
      <c r="Q10" s="225">
        <f>RefStr!F56</f>
        <v>19</v>
      </c>
      <c r="R10" s="208" t="s">
        <v>917</v>
      </c>
      <c r="S10" s="225">
        <f>RefStr!C23</f>
        <v>1</v>
      </c>
      <c r="T10" s="208" t="s">
        <v>2973</v>
      </c>
      <c r="U10" s="225" t="str">
        <f>RefStr!D39</f>
        <v>Krk</v>
      </c>
      <c r="V10" s="232"/>
      <c r="W10" s="233"/>
      <c r="X10" s="234" t="s">
        <v>2279</v>
      </c>
      <c r="Y10" s="235">
        <f>RefStr!F12</f>
        <v>2022</v>
      </c>
      <c r="Z10" s="208" t="s">
        <v>1771</v>
      </c>
      <c r="AA10" s="225" t="str">
        <f>RefStr!A75</f>
        <v>Neven Hržić str.spec.ing.građ.</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C:\Users\Zvjezdana.LOCAL\Desktop\usluga 2022\[GFI-POD,javna objava.xls]Bilanca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3" activePane="bottomLeft" state="frozen"/>
      <selection pane="topLeft" activeCell="A1" sqref="A1"/>
      <selection pane="bottomLeft" activeCell="I64" sqref="I6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1</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412948.2</v>
      </c>
    </row>
    <row r="13" spans="4:17" ht="9.75" customHeight="1">
      <c r="D13" s="152"/>
      <c r="E13" s="158"/>
      <c r="H13" s="23"/>
      <c r="I13" s="159"/>
      <c r="J13" s="159"/>
      <c r="K13" s="152"/>
      <c r="L13" s="152"/>
      <c r="M13" s="152"/>
      <c r="N13" s="152"/>
      <c r="P13" s="50" t="s">
        <v>1561</v>
      </c>
      <c r="Q13" s="51">
        <f>INT(VALUE(M27))/50</f>
        <v>806307.78</v>
      </c>
    </row>
    <row r="14" spans="1:17" ht="15">
      <c r="A14" s="377" t="s">
        <v>1312</v>
      </c>
      <c r="B14" s="377"/>
      <c r="C14" s="377"/>
      <c r="D14" s="160"/>
      <c r="E14" s="161"/>
      <c r="F14" s="375"/>
      <c r="G14" s="376"/>
      <c r="H14" s="376"/>
      <c r="I14" s="152"/>
      <c r="J14" s="367" t="s">
        <v>1978</v>
      </c>
      <c r="K14" s="368"/>
      <c r="L14" s="368"/>
      <c r="M14" s="368"/>
      <c r="N14" s="368"/>
      <c r="P14" s="50" t="s">
        <v>1316</v>
      </c>
      <c r="Q14" s="51">
        <f>INT(VALUE(C27))/100</f>
        <v>921431594.56</v>
      </c>
    </row>
    <row r="15" spans="1:17" ht="19.5" customHeight="1">
      <c r="A15" s="364">
        <f>Skriveni!B59</f>
        <v>1264545251.29</v>
      </c>
      <c r="B15" s="365"/>
      <c r="C15" s="366"/>
      <c r="D15" s="56"/>
      <c r="E15" s="56"/>
      <c r="F15" s="56"/>
      <c r="G15" s="56"/>
      <c r="H15" s="56"/>
      <c r="I15" s="56"/>
      <c r="J15" s="56"/>
      <c r="K15" s="56"/>
      <c r="L15" s="56"/>
      <c r="M15" s="56"/>
      <c r="N15" s="56"/>
      <c r="P15" s="50" t="s">
        <v>887</v>
      </c>
      <c r="Q15" s="51">
        <f>LEN(Skriveni!B9)</f>
        <v>20</v>
      </c>
    </row>
    <row r="16" spans="4:17" ht="12.75" customHeight="1">
      <c r="D16" s="56"/>
      <c r="E16" s="56"/>
      <c r="F16" s="56"/>
      <c r="G16" s="56"/>
      <c r="H16" s="56"/>
      <c r="I16" s="56"/>
      <c r="P16" s="50" t="s">
        <v>888</v>
      </c>
      <c r="Q16" s="51">
        <f>INT(VALUE(C31))/100</f>
        <v>515</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3</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2992</v>
      </c>
      <c r="P19" s="50" t="s">
        <v>890</v>
      </c>
      <c r="Q19" s="51">
        <f>LEN(Skriveni!B12)</f>
        <v>11</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215</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6920</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2982</v>
      </c>
      <c r="D27" s="289"/>
      <c r="E27" s="290"/>
      <c r="F27" s="280" t="s">
        <v>2787</v>
      </c>
      <c r="G27" s="307"/>
      <c r="H27" s="288" t="s">
        <v>2983</v>
      </c>
      <c r="I27" s="305"/>
      <c r="J27" s="280" t="s">
        <v>1977</v>
      </c>
      <c r="K27" s="281"/>
      <c r="L27" s="306"/>
      <c r="M27" s="288" t="s">
        <v>2984</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51500</v>
      </c>
      <c r="D31" s="328" t="s">
        <v>929</v>
      </c>
      <c r="E31" s="329"/>
      <c r="F31" s="302" t="s">
        <v>1753</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2986</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2987</v>
      </c>
      <c r="D35" s="383"/>
      <c r="E35" s="383"/>
      <c r="F35" s="383"/>
      <c r="G35" s="383"/>
      <c r="H35" s="383"/>
      <c r="I35" s="384"/>
      <c r="J35" s="277" t="s">
        <v>1750</v>
      </c>
      <c r="K35" s="317"/>
      <c r="L35" s="288" t="s">
        <v>2989</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2988</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215</v>
      </c>
      <c r="D39" s="278" t="str">
        <f>IF(C39="","Upišite šifru grada/općine",IF(ISNA(LOOKUP(C39,A177:A732,A177:A732)),"Šifra grada/općine ne postoji",IF(LOOKUP(C39,A177:A732,A177:A732)&lt;&gt;C39,"Šifra grada/općine ne postoji",LOOKUP(C39,A177:A732,B177:B732))))</f>
        <v>Krk</v>
      </c>
      <c r="E39" s="323"/>
      <c r="F39" s="323"/>
      <c r="G39" s="323"/>
      <c r="H39" s="287" t="s">
        <v>2109</v>
      </c>
      <c r="I39" s="306"/>
      <c r="J39" s="54">
        <f>IF(C39&gt;0,LOOKUP(C39,A177:A732,C177:C732),"")</f>
        <v>8</v>
      </c>
      <c r="K39" s="332" t="str">
        <f>IF(J39="","Upišite šifru grada/općine",LOOKUP(J39,A153:A173,B153:B173))</f>
        <v>PRIMORSKO-GORANSKA</v>
      </c>
      <c r="L39" s="332"/>
      <c r="M39" s="332"/>
      <c r="N39" s="332"/>
      <c r="P39" s="50" t="s">
        <v>896</v>
      </c>
      <c r="Q39" s="51">
        <f>C56+2*F56+3*C58+4*F58</f>
        <v>194</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1331</v>
      </c>
      <c r="D42" s="320" t="str">
        <f>IF(C42="","Upišite šifru razreda glavne djelatnosti",IF(ISNA(LOOKUP(C42,A736:A1351,A736:A1351)),"Šifra NKD-a ne postoji",IF(LOOKUP(C42,A736:A1351,A736:A1351)&lt;&gt;C42,"Šifra NKD-a ne postoji",LOOKUP(C42,A736:A1351,B736:B1351))))</f>
        <v>Računovodstvene, knjigovodstvene i rev...</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30</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20</v>
      </c>
      <c r="D56" s="326" t="s">
        <v>2653</v>
      </c>
      <c r="E56" s="327"/>
      <c r="F56" s="40">
        <v>19</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20</v>
      </c>
      <c r="D58" s="314" t="s">
        <v>2653</v>
      </c>
      <c r="E58" s="314"/>
      <c r="F58" s="40">
        <v>19</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2990</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2989</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2991</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2993</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1" activePane="bottomLeft" state="frozen"/>
      <selection pane="topLeft" activeCell="A1" sqref="A1"/>
      <selection pane="bottomLeft" activeCell="J134" sqref="J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92143159456; PONIKVE USLUGA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3743452</v>
      </c>
      <c r="J10" s="66">
        <f>J11+J18+J28+J39+J44</f>
        <v>3673410</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3743452</v>
      </c>
      <c r="J18" s="66">
        <f>SUM(J19:J27)</f>
        <v>3673410</v>
      </c>
    </row>
    <row r="19" spans="1:10" ht="13.5" customHeight="1">
      <c r="A19" s="385" t="s">
        <v>733</v>
      </c>
      <c r="B19" s="385"/>
      <c r="C19" s="385"/>
      <c r="D19" s="385"/>
      <c r="E19" s="385"/>
      <c r="F19" s="385"/>
      <c r="G19" s="15">
        <v>11</v>
      </c>
      <c r="H19" s="16"/>
      <c r="I19" s="67">
        <v>19002</v>
      </c>
      <c r="J19" s="67">
        <v>19002</v>
      </c>
    </row>
    <row r="20" spans="1:10" ht="13.5" customHeight="1">
      <c r="A20" s="385" t="s">
        <v>796</v>
      </c>
      <c r="B20" s="385"/>
      <c r="C20" s="385"/>
      <c r="D20" s="385"/>
      <c r="E20" s="385"/>
      <c r="F20" s="385"/>
      <c r="G20" s="15">
        <v>12</v>
      </c>
      <c r="H20" s="16"/>
      <c r="I20" s="67">
        <v>3135401</v>
      </c>
      <c r="J20" s="67">
        <v>3002451</v>
      </c>
    </row>
    <row r="21" spans="1:10" ht="13.5" customHeight="1">
      <c r="A21" s="385" t="s">
        <v>734</v>
      </c>
      <c r="B21" s="385"/>
      <c r="C21" s="385"/>
      <c r="D21" s="385"/>
      <c r="E21" s="385"/>
      <c r="F21" s="385"/>
      <c r="G21" s="15">
        <v>13</v>
      </c>
      <c r="H21" s="16"/>
      <c r="I21" s="67">
        <v>554843</v>
      </c>
      <c r="J21" s="67">
        <v>589605</v>
      </c>
    </row>
    <row r="22" spans="1:10" ht="13.5" customHeight="1">
      <c r="A22" s="385" t="s">
        <v>405</v>
      </c>
      <c r="B22" s="385"/>
      <c r="C22" s="385"/>
      <c r="D22" s="385"/>
      <c r="E22" s="385"/>
      <c r="F22" s="385"/>
      <c r="G22" s="15">
        <v>14</v>
      </c>
      <c r="H22" s="16"/>
      <c r="I22" s="67">
        <v>34206</v>
      </c>
      <c r="J22" s="67">
        <v>62352</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0</v>
      </c>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7863720</v>
      </c>
      <c r="J45" s="66">
        <f>J46+J54+J61+J71</f>
        <v>10087433</v>
      </c>
    </row>
    <row r="46" spans="1:10" ht="13.5" customHeight="1">
      <c r="A46" s="386" t="s">
        <v>1264</v>
      </c>
      <c r="B46" s="386"/>
      <c r="C46" s="386"/>
      <c r="D46" s="386"/>
      <c r="E46" s="386"/>
      <c r="F46" s="386"/>
      <c r="G46" s="15">
        <v>38</v>
      </c>
      <c r="H46" s="16"/>
      <c r="I46" s="66">
        <f>SUM(I47:I53)</f>
        <v>185</v>
      </c>
      <c r="J46" s="66">
        <f>SUM(J47:J53)</f>
        <v>23310</v>
      </c>
    </row>
    <row r="47" spans="1:10" ht="13.5" customHeight="1">
      <c r="A47" s="385" t="s">
        <v>1892</v>
      </c>
      <c r="B47" s="385"/>
      <c r="C47" s="385"/>
      <c r="D47" s="385"/>
      <c r="E47" s="385"/>
      <c r="F47" s="385"/>
      <c r="G47" s="15">
        <v>39</v>
      </c>
      <c r="H47" s="16"/>
      <c r="I47" s="67"/>
      <c r="J47" s="67"/>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v>185</v>
      </c>
      <c r="J51" s="67">
        <v>23310</v>
      </c>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4490352</v>
      </c>
      <c r="J54" s="66">
        <f>SUM(J55:J60)</f>
        <v>6919819</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4489560</v>
      </c>
      <c r="J57" s="67">
        <v>6919819</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792</v>
      </c>
      <c r="J59" s="67"/>
    </row>
    <row r="60" spans="1:10" ht="13.5" customHeight="1">
      <c r="A60" s="385" t="s">
        <v>1255</v>
      </c>
      <c r="B60" s="385"/>
      <c r="C60" s="385"/>
      <c r="D60" s="385"/>
      <c r="E60" s="385"/>
      <c r="F60" s="385"/>
      <c r="G60" s="15">
        <v>52</v>
      </c>
      <c r="H60" s="16"/>
      <c r="I60" s="67"/>
      <c r="J60" s="67"/>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3373183</v>
      </c>
      <c r="J71" s="67">
        <v>3144304</v>
      </c>
    </row>
    <row r="72" spans="1:10" ht="24.75" customHeight="1">
      <c r="A72" s="387" t="s">
        <v>591</v>
      </c>
      <c r="B72" s="387"/>
      <c r="C72" s="387"/>
      <c r="D72" s="387"/>
      <c r="E72" s="387"/>
      <c r="F72" s="387"/>
      <c r="G72" s="15">
        <v>64</v>
      </c>
      <c r="H72" s="16"/>
      <c r="I72" s="67">
        <v>767</v>
      </c>
      <c r="J72" s="67">
        <v>18187</v>
      </c>
    </row>
    <row r="73" spans="1:10" ht="13.5" customHeight="1">
      <c r="A73" s="387" t="s">
        <v>1267</v>
      </c>
      <c r="B73" s="387"/>
      <c r="C73" s="387"/>
      <c r="D73" s="387"/>
      <c r="E73" s="387"/>
      <c r="F73" s="387"/>
      <c r="G73" s="15">
        <v>65</v>
      </c>
      <c r="H73" s="16"/>
      <c r="I73" s="66">
        <f>I9+I10+I45+I72</f>
        <v>11607939</v>
      </c>
      <c r="J73" s="66">
        <f>J9+J10+J45+J72</f>
        <v>13779030</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4616088</v>
      </c>
      <c r="J76" s="66">
        <f>J77+J78+J79+J85+J86+J92+J95+J98</f>
        <v>4635520</v>
      </c>
      <c r="L76" s="2" t="s">
        <v>1209</v>
      </c>
    </row>
    <row r="77" spans="1:10" ht="13.5" customHeight="1">
      <c r="A77" s="386" t="s">
        <v>1857</v>
      </c>
      <c r="B77" s="386"/>
      <c r="C77" s="386"/>
      <c r="D77" s="386"/>
      <c r="E77" s="386"/>
      <c r="F77" s="386"/>
      <c r="G77" s="15">
        <v>68</v>
      </c>
      <c r="H77" s="16"/>
      <c r="I77" s="67">
        <v>4490500</v>
      </c>
      <c r="J77" s="67">
        <v>4490500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117319</v>
      </c>
      <c r="J92" s="66">
        <f>J93-J94</f>
        <v>125588</v>
      </c>
      <c r="L92" s="2" t="s">
        <v>1209</v>
      </c>
    </row>
    <row r="93" spans="1:10" ht="13.5" customHeight="1">
      <c r="A93" s="385" t="s">
        <v>2830</v>
      </c>
      <c r="B93" s="385"/>
      <c r="C93" s="385"/>
      <c r="D93" s="385"/>
      <c r="E93" s="385"/>
      <c r="F93" s="385"/>
      <c r="G93" s="15">
        <v>84</v>
      </c>
      <c r="H93" s="16"/>
      <c r="I93" s="67">
        <v>117319</v>
      </c>
      <c r="J93" s="67">
        <v>125588</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8269</v>
      </c>
      <c r="J95" s="66">
        <f>J96-J97</f>
        <v>19432</v>
      </c>
      <c r="L95" s="2" t="s">
        <v>1209</v>
      </c>
    </row>
    <row r="96" spans="1:10" ht="13.5" customHeight="1">
      <c r="A96" s="385" t="s">
        <v>1257</v>
      </c>
      <c r="B96" s="385"/>
      <c r="C96" s="385"/>
      <c r="D96" s="385"/>
      <c r="E96" s="385"/>
      <c r="F96" s="385"/>
      <c r="G96" s="15">
        <v>87</v>
      </c>
      <c r="H96" s="16"/>
      <c r="I96" s="67">
        <v>8269</v>
      </c>
      <c r="J96" s="67">
        <v>19432</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0</v>
      </c>
      <c r="J106" s="66">
        <f>SUM(J107:J117)</f>
        <v>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562679</v>
      </c>
      <c r="J118" s="66">
        <f>SUM(J119:J132)</f>
        <v>661931</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v>50000</v>
      </c>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v>898</v>
      </c>
    </row>
    <row r="126" spans="1:10" ht="13.5" customHeight="1">
      <c r="A126" s="385" t="s">
        <v>2017</v>
      </c>
      <c r="B126" s="385"/>
      <c r="C126" s="385"/>
      <c r="D126" s="385"/>
      <c r="E126" s="385"/>
      <c r="F126" s="385"/>
      <c r="G126" s="15">
        <v>117</v>
      </c>
      <c r="H126" s="16"/>
      <c r="I126" s="67">
        <v>232637</v>
      </c>
      <c r="J126" s="67">
        <v>347385</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156790</v>
      </c>
      <c r="J128" s="67">
        <v>154555</v>
      </c>
    </row>
    <row r="129" spans="1:10" ht="13.5" customHeight="1">
      <c r="A129" s="385" t="s">
        <v>2023</v>
      </c>
      <c r="B129" s="385"/>
      <c r="C129" s="385"/>
      <c r="D129" s="385"/>
      <c r="E129" s="385"/>
      <c r="F129" s="385"/>
      <c r="G129" s="15">
        <v>120</v>
      </c>
      <c r="H129" s="16"/>
      <c r="I129" s="67">
        <v>118099</v>
      </c>
      <c r="J129" s="67">
        <v>138055</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5153</v>
      </c>
      <c r="J132" s="67">
        <v>21038</v>
      </c>
    </row>
    <row r="133" spans="1:10" ht="24.75" customHeight="1">
      <c r="A133" s="387" t="s">
        <v>593</v>
      </c>
      <c r="B133" s="387"/>
      <c r="C133" s="387"/>
      <c r="D133" s="387"/>
      <c r="E133" s="387"/>
      <c r="F133" s="387"/>
      <c r="G133" s="15">
        <v>124</v>
      </c>
      <c r="H133" s="16"/>
      <c r="I133" s="67">
        <v>6429172</v>
      </c>
      <c r="J133" s="67">
        <v>8481579</v>
      </c>
    </row>
    <row r="134" spans="1:10" ht="13.5" customHeight="1">
      <c r="A134" s="387" t="s">
        <v>360</v>
      </c>
      <c r="B134" s="387"/>
      <c r="C134" s="387"/>
      <c r="D134" s="387"/>
      <c r="E134" s="387"/>
      <c r="F134" s="387"/>
      <c r="G134" s="15">
        <v>125</v>
      </c>
      <c r="H134" s="16"/>
      <c r="I134" s="66">
        <f>I76+I99+I106+I118+I133</f>
        <v>11607939</v>
      </c>
      <c r="J134" s="66">
        <f>J76+J99+J106+J118+J133</f>
        <v>13779030</v>
      </c>
    </row>
    <row r="135" spans="1:10" ht="13.5" customHeight="1">
      <c r="A135" s="388" t="s">
        <v>1512</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92143159456; PONIKVE USLUGA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5692801</v>
      </c>
      <c r="J8" s="80">
        <f>SUM(J9:J13)</f>
        <v>6017470</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5618328</v>
      </c>
      <c r="J10" s="67">
        <v>5947798</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74473</v>
      </c>
      <c r="J13" s="67">
        <v>69672</v>
      </c>
    </row>
    <row r="14" spans="1:10" s="2" customFormat="1" ht="14.25" customHeight="1">
      <c r="A14" s="387" t="s">
        <v>2492</v>
      </c>
      <c r="B14" s="387"/>
      <c r="C14" s="387"/>
      <c r="D14" s="387"/>
      <c r="E14" s="387"/>
      <c r="F14" s="387"/>
      <c r="G14" s="15">
        <v>133</v>
      </c>
      <c r="H14" s="16"/>
      <c r="I14" s="66">
        <f>I15+I16+I20+I24+I25+I26+I29+I36</f>
        <v>5682019</v>
      </c>
      <c r="J14" s="66">
        <f>J15+J16+J20+J24+J25+J26+J29+J36</f>
        <v>5996347</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2334572</v>
      </c>
      <c r="J16" s="66">
        <f>SUM(J17:J19)</f>
        <v>2504666</v>
      </c>
    </row>
    <row r="17" spans="1:10" s="2" customFormat="1" ht="14.25" customHeight="1">
      <c r="A17" s="414" t="s">
        <v>1273</v>
      </c>
      <c r="B17" s="414"/>
      <c r="C17" s="414"/>
      <c r="D17" s="414"/>
      <c r="E17" s="414"/>
      <c r="F17" s="414"/>
      <c r="G17" s="15">
        <v>136</v>
      </c>
      <c r="H17" s="16"/>
      <c r="I17" s="67">
        <v>467017</v>
      </c>
      <c r="J17" s="67">
        <v>498074</v>
      </c>
    </row>
    <row r="18" spans="1:10" s="2" customFormat="1" ht="14.25" customHeight="1">
      <c r="A18" s="414" t="s">
        <v>1274</v>
      </c>
      <c r="B18" s="414"/>
      <c r="C18" s="414"/>
      <c r="D18" s="414"/>
      <c r="E18" s="414"/>
      <c r="F18" s="414"/>
      <c r="G18" s="15">
        <v>137</v>
      </c>
      <c r="H18" s="16"/>
      <c r="I18" s="67"/>
      <c r="J18" s="67"/>
    </row>
    <row r="19" spans="1:10" s="2" customFormat="1" ht="14.25" customHeight="1">
      <c r="A19" s="414" t="s">
        <v>2959</v>
      </c>
      <c r="B19" s="414"/>
      <c r="C19" s="414"/>
      <c r="D19" s="414"/>
      <c r="E19" s="414"/>
      <c r="F19" s="414"/>
      <c r="G19" s="15">
        <v>138</v>
      </c>
      <c r="H19" s="16"/>
      <c r="I19" s="67">
        <v>1867555</v>
      </c>
      <c r="J19" s="67">
        <v>2006592</v>
      </c>
    </row>
    <row r="20" spans="1:10" s="2" customFormat="1" ht="14.25" customHeight="1">
      <c r="A20" s="385" t="s">
        <v>2494</v>
      </c>
      <c r="B20" s="385"/>
      <c r="C20" s="385"/>
      <c r="D20" s="385"/>
      <c r="E20" s="385"/>
      <c r="F20" s="385"/>
      <c r="G20" s="15">
        <v>139</v>
      </c>
      <c r="H20" s="16"/>
      <c r="I20" s="66">
        <f>SUM(I21:I23)</f>
        <v>2594062</v>
      </c>
      <c r="J20" s="66">
        <f>SUM(J21:J23)</f>
        <v>2647304</v>
      </c>
    </row>
    <row r="21" spans="1:10" s="2" customFormat="1" ht="14.25" customHeight="1">
      <c r="A21" s="414" t="s">
        <v>960</v>
      </c>
      <c r="B21" s="414"/>
      <c r="C21" s="414"/>
      <c r="D21" s="414"/>
      <c r="E21" s="414"/>
      <c r="F21" s="414"/>
      <c r="G21" s="15">
        <v>140</v>
      </c>
      <c r="H21" s="16"/>
      <c r="I21" s="67">
        <v>1668431</v>
      </c>
      <c r="J21" s="67">
        <v>1673257</v>
      </c>
    </row>
    <row r="22" spans="1:10" s="2" customFormat="1" ht="14.25" customHeight="1">
      <c r="A22" s="414" t="s">
        <v>1883</v>
      </c>
      <c r="B22" s="414"/>
      <c r="C22" s="414"/>
      <c r="D22" s="414"/>
      <c r="E22" s="414"/>
      <c r="F22" s="414"/>
      <c r="G22" s="15">
        <v>141</v>
      </c>
      <c r="H22" s="16"/>
      <c r="I22" s="67">
        <v>605382</v>
      </c>
      <c r="J22" s="67">
        <v>635123</v>
      </c>
    </row>
    <row r="23" spans="1:10" s="2" customFormat="1" ht="14.25" customHeight="1">
      <c r="A23" s="414" t="s">
        <v>1884</v>
      </c>
      <c r="B23" s="414"/>
      <c r="C23" s="414"/>
      <c r="D23" s="414"/>
      <c r="E23" s="414"/>
      <c r="F23" s="414"/>
      <c r="G23" s="15">
        <v>142</v>
      </c>
      <c r="H23" s="16"/>
      <c r="I23" s="67">
        <v>320249</v>
      </c>
      <c r="J23" s="67">
        <v>338924</v>
      </c>
    </row>
    <row r="24" spans="1:10" s="2" customFormat="1" ht="14.25" customHeight="1">
      <c r="A24" s="385" t="s">
        <v>1006</v>
      </c>
      <c r="B24" s="385"/>
      <c r="C24" s="385"/>
      <c r="D24" s="385"/>
      <c r="E24" s="385"/>
      <c r="F24" s="385"/>
      <c r="G24" s="15">
        <v>143</v>
      </c>
      <c r="H24" s="16"/>
      <c r="I24" s="67">
        <v>336063</v>
      </c>
      <c r="J24" s="67">
        <v>338301</v>
      </c>
    </row>
    <row r="25" spans="1:10" s="2" customFormat="1" ht="14.25" customHeight="1">
      <c r="A25" s="385" t="s">
        <v>1007</v>
      </c>
      <c r="B25" s="385"/>
      <c r="C25" s="385"/>
      <c r="D25" s="385"/>
      <c r="E25" s="385"/>
      <c r="F25" s="385"/>
      <c r="G25" s="15">
        <v>144</v>
      </c>
      <c r="H25" s="16"/>
      <c r="I25" s="67">
        <v>405188</v>
      </c>
      <c r="J25" s="67">
        <v>496637</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12134</v>
      </c>
      <c r="J36" s="67">
        <v>9439</v>
      </c>
    </row>
    <row r="37" spans="1:10" s="2" customFormat="1" ht="14.25" customHeight="1">
      <c r="A37" s="387" t="s">
        <v>2497</v>
      </c>
      <c r="B37" s="387"/>
      <c r="C37" s="387"/>
      <c r="D37" s="387"/>
      <c r="E37" s="387"/>
      <c r="F37" s="387"/>
      <c r="G37" s="15">
        <v>156</v>
      </c>
      <c r="H37" s="16"/>
      <c r="I37" s="66">
        <f>SUM(I38:I47)</f>
        <v>8</v>
      </c>
      <c r="J37" s="66">
        <f>SUM(J38:J47)</f>
        <v>6</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8</v>
      </c>
      <c r="J44" s="67">
        <v>6</v>
      </c>
    </row>
    <row r="45" spans="1:10" s="2" customFormat="1" ht="14.25" customHeight="1">
      <c r="A45" s="385" t="s">
        <v>2961</v>
      </c>
      <c r="B45" s="385"/>
      <c r="C45" s="385"/>
      <c r="D45" s="385"/>
      <c r="E45" s="385"/>
      <c r="F45" s="385"/>
      <c r="G45" s="15">
        <v>164</v>
      </c>
      <c r="H45" s="16"/>
      <c r="I45" s="67">
        <v>0</v>
      </c>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2521</v>
      </c>
      <c r="J48" s="66">
        <f>SUM(J49:J55)</f>
        <v>1697</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751</v>
      </c>
      <c r="J51" s="67">
        <v>114</v>
      </c>
    </row>
    <row r="52" spans="1:10" s="2" customFormat="1" ht="14.25" customHeight="1">
      <c r="A52" s="413" t="s">
        <v>1090</v>
      </c>
      <c r="B52" s="413"/>
      <c r="C52" s="413"/>
      <c r="D52" s="413"/>
      <c r="E52" s="413"/>
      <c r="F52" s="413"/>
      <c r="G52" s="15">
        <v>171</v>
      </c>
      <c r="H52" s="16"/>
      <c r="I52" s="67">
        <v>1770</v>
      </c>
      <c r="J52" s="67">
        <v>1583</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5692809</v>
      </c>
      <c r="J60" s="66">
        <f>J8+J37+J56+J57</f>
        <v>6017476</v>
      </c>
    </row>
    <row r="61" spans="1:10" s="2" customFormat="1" ht="14.25" customHeight="1">
      <c r="A61" s="387" t="s">
        <v>2500</v>
      </c>
      <c r="B61" s="387"/>
      <c r="C61" s="387"/>
      <c r="D61" s="387"/>
      <c r="E61" s="387"/>
      <c r="F61" s="387"/>
      <c r="G61" s="15">
        <v>180</v>
      </c>
      <c r="H61" s="16"/>
      <c r="I61" s="66">
        <f>I14+I48+I58+I59</f>
        <v>5684540</v>
      </c>
      <c r="J61" s="66">
        <f>J14+J48+J58+J59</f>
        <v>5998044</v>
      </c>
    </row>
    <row r="62" spans="1:12" s="2" customFormat="1" ht="14.25" customHeight="1">
      <c r="A62" s="387" t="s">
        <v>2501</v>
      </c>
      <c r="B62" s="387"/>
      <c r="C62" s="387"/>
      <c r="D62" s="387"/>
      <c r="E62" s="387"/>
      <c r="F62" s="387"/>
      <c r="G62" s="15">
        <v>181</v>
      </c>
      <c r="H62" s="16"/>
      <c r="I62" s="66">
        <f>I60-I61</f>
        <v>8269</v>
      </c>
      <c r="J62" s="66">
        <f>J60-J61</f>
        <v>19432</v>
      </c>
      <c r="L62" s="2" t="s">
        <v>1209</v>
      </c>
    </row>
    <row r="63" spans="1:10" s="2" customFormat="1" ht="14.25" customHeight="1">
      <c r="A63" s="413" t="s">
        <v>2502</v>
      </c>
      <c r="B63" s="413"/>
      <c r="C63" s="413"/>
      <c r="D63" s="413"/>
      <c r="E63" s="413"/>
      <c r="F63" s="413"/>
      <c r="G63" s="15">
        <v>182</v>
      </c>
      <c r="H63" s="16"/>
      <c r="I63" s="66">
        <f>IF(I60&gt;I61,I60-I61,0)</f>
        <v>8269</v>
      </c>
      <c r="J63" s="66">
        <f>IF(J60&gt;J61,J60-J61,0)</f>
        <v>19432</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c r="J65" s="67"/>
      <c r="L65" s="2" t="s">
        <v>1209</v>
      </c>
    </row>
    <row r="66" spans="1:12" s="2" customFormat="1" ht="14.25" customHeight="1">
      <c r="A66" s="387" t="s">
        <v>2504</v>
      </c>
      <c r="B66" s="387"/>
      <c r="C66" s="387"/>
      <c r="D66" s="387"/>
      <c r="E66" s="387"/>
      <c r="F66" s="387"/>
      <c r="G66" s="15">
        <v>185</v>
      </c>
      <c r="H66" s="16"/>
      <c r="I66" s="66">
        <f>I62-I65</f>
        <v>8269</v>
      </c>
      <c r="J66" s="66">
        <f>J62-J65</f>
        <v>19432</v>
      </c>
      <c r="L66" s="2" t="s">
        <v>1209</v>
      </c>
    </row>
    <row r="67" spans="1:10" s="2" customFormat="1" ht="14.25" customHeight="1">
      <c r="A67" s="413" t="s">
        <v>2505</v>
      </c>
      <c r="B67" s="413"/>
      <c r="C67" s="413"/>
      <c r="D67" s="413"/>
      <c r="E67" s="413"/>
      <c r="F67" s="413"/>
      <c r="G67" s="15">
        <v>186</v>
      </c>
      <c r="H67" s="16"/>
      <c r="I67" s="66">
        <f>IF(I66&gt;0,I66,0)</f>
        <v>8269</v>
      </c>
      <c r="J67" s="66">
        <f>IF(J66&gt;0,J66,0)</f>
        <v>19432</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5:J5"/>
    <mergeCell ref="A6:F6"/>
    <mergeCell ref="A2:I2"/>
    <mergeCell ref="A3:I3"/>
    <mergeCell ref="J2:J3"/>
    <mergeCell ref="A31:F31"/>
    <mergeCell ref="A16:F16"/>
    <mergeCell ref="A23:F23"/>
    <mergeCell ref="A24:F24"/>
    <mergeCell ref="A15:F15"/>
    <mergeCell ref="A25:F2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5" activePane="bottomLeft" state="frozen"/>
      <selection pane="topLeft" activeCell="A1" sqref="A1"/>
      <selection pane="bottomLeft" activeCell="J25" sqref="J2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92143159456; PONIKVE USLUGA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1.25">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92143159456; PONIKVE USLUGA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92143159456; PONIKVE USLUGA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92143159456; PONIKVE USLUGA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Zvjezdana Ponoš</cp:lastModifiedBy>
  <cp:lastPrinted>2023-06-19T07:57:16Z</cp:lastPrinted>
  <dcterms:created xsi:type="dcterms:W3CDTF">2008-10-17T11:51:54Z</dcterms:created>
  <dcterms:modified xsi:type="dcterms:W3CDTF">2023-06-19T07:57:23Z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